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INANCEIRO\RELAÇÕES COM INVESTIDORES\Privado\2_Release de resultados\2_2021\4T21\"/>
    </mc:Choice>
  </mc:AlternateContent>
  <xr:revisionPtr revIDLastSave="0" documentId="13_ncr:1_{9D362ACC-0B35-419E-BB64-8834C9D2157F}" xr6:coauthVersionLast="47" xr6:coauthVersionMax="47" xr10:uidLastSave="{00000000-0000-0000-0000-000000000000}"/>
  <bookViews>
    <workbookView xWindow="28680" yWindow="-120" windowWidth="29040" windowHeight="15840" tabRatio="713" xr2:uid="{00000000-000D-0000-FFFF-FFFF00000000}"/>
  </bookViews>
  <sheets>
    <sheet name="Indice" sheetId="1" r:id="rId1"/>
    <sheet name="Balanço" sheetId="7" r:id="rId2"/>
    <sheet name="DRE" sheetId="8" r:id="rId3"/>
    <sheet name="Fluxo de Caixa" sheetId="12" r:id="rId4"/>
    <sheet name="Endividamento" sheetId="5" r:id="rId5"/>
    <sheet name="Indicadores Operacionais" sheetId="9" r:id="rId6"/>
    <sheet name="Canais de venda" sheetId="11" r:id="rId7"/>
  </sheets>
  <externalReferences>
    <externalReference r:id="rId8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8" l="1"/>
  <c r="N31" i="8"/>
  <c r="N33" i="8" s="1"/>
  <c r="P33" i="8"/>
  <c r="P40" i="8"/>
  <c r="P40" i="9" l="1"/>
  <c r="P30" i="9"/>
  <c r="P21" i="9"/>
  <c r="P11" i="9"/>
  <c r="P23" i="11" l="1"/>
  <c r="P22" i="11"/>
  <c r="P19" i="11"/>
  <c r="P12" i="11"/>
  <c r="P13" i="11"/>
  <c r="P9" i="11"/>
  <c r="P24" i="11" s="1"/>
  <c r="P12" i="5"/>
  <c r="P10" i="5"/>
  <c r="F69" i="12"/>
  <c r="F65" i="12"/>
  <c r="F46" i="12"/>
  <c r="F38" i="12"/>
  <c r="AC13" i="8"/>
  <c r="AC6" i="8"/>
  <c r="AC7" i="8" s="1"/>
  <c r="AC5" i="8"/>
  <c r="AC40" i="8"/>
  <c r="AC30" i="8"/>
  <c r="AC27" i="8"/>
  <c r="AC23" i="8"/>
  <c r="AC22" i="8"/>
  <c r="AC18" i="8"/>
  <c r="AC17" i="8"/>
  <c r="AC38" i="8" s="1"/>
  <c r="AC12" i="8"/>
  <c r="AC11" i="8"/>
  <c r="AC10" i="8"/>
  <c r="P38" i="8"/>
  <c r="P39" i="8"/>
  <c r="P31" i="8"/>
  <c r="P7" i="8"/>
  <c r="P14" i="8" s="1"/>
  <c r="P19" i="8" s="1"/>
  <c r="P24" i="8" s="1"/>
  <c r="P37" i="8" s="1"/>
  <c r="O58" i="7"/>
  <c r="P55" i="7"/>
  <c r="P47" i="7"/>
  <c r="P37" i="7"/>
  <c r="P23" i="7"/>
  <c r="P12" i="7"/>
  <c r="AC39" i="8" l="1"/>
  <c r="P41" i="8"/>
  <c r="P45" i="8" s="1"/>
  <c r="P46" i="8"/>
  <c r="P44" i="8"/>
  <c r="P14" i="11"/>
  <c r="F58" i="12"/>
  <c r="F70" i="12" s="1"/>
  <c r="AC44" i="8"/>
  <c r="AC14" i="8"/>
  <c r="AC19" i="8" s="1"/>
  <c r="AC24" i="8" s="1"/>
  <c r="P25" i="7"/>
  <c r="P57" i="7"/>
  <c r="AC37" i="8" l="1"/>
  <c r="AC41" i="8" s="1"/>
  <c r="AC45" i="8" s="1"/>
  <c r="AC46" i="8"/>
  <c r="P58" i="7"/>
  <c r="AC18" i="11" l="1"/>
  <c r="AC17" i="11"/>
  <c r="AC19" i="11" s="1"/>
  <c r="N12" i="11"/>
  <c r="AB17" i="11" l="1"/>
  <c r="O19" i="11"/>
  <c r="AB18" i="11"/>
  <c r="AB19" i="11" l="1"/>
  <c r="O40" i="9"/>
  <c r="O30" i="9"/>
  <c r="O21" i="9"/>
  <c r="O31" i="8" l="1"/>
  <c r="O38" i="8"/>
  <c r="O39" i="8"/>
  <c r="AB18" i="8"/>
  <c r="AB6" i="8"/>
  <c r="AB5" i="8"/>
  <c r="AB30" i="8"/>
  <c r="AB27" i="8"/>
  <c r="AB23" i="8"/>
  <c r="AB17" i="8"/>
  <c r="AB13" i="8"/>
  <c r="AB12" i="8"/>
  <c r="AB11" i="8"/>
  <c r="AB10" i="8"/>
  <c r="O7" i="8"/>
  <c r="O14" i="8" s="1"/>
  <c r="O19" i="8" s="1"/>
  <c r="O24" i="8" s="1"/>
  <c r="O37" i="8" s="1"/>
  <c r="O55" i="7"/>
  <c r="O47" i="7"/>
  <c r="O37" i="7"/>
  <c r="O23" i="7"/>
  <c r="O12" i="7"/>
  <c r="O25" i="7" l="1"/>
  <c r="O10" i="5"/>
  <c r="O46" i="8"/>
  <c r="O44" i="8"/>
  <c r="O57" i="7"/>
  <c r="AB38" i="8"/>
  <c r="AB7" i="8"/>
  <c r="AB44" i="8" l="1"/>
  <c r="AB14" i="8"/>
  <c r="AB19" i="8" s="1"/>
  <c r="AC8" i="11" l="1"/>
  <c r="AC7" i="11"/>
  <c r="AC6" i="11"/>
  <c r="AC22" i="11" s="1"/>
  <c r="AC23" i="11" l="1"/>
  <c r="AC9" i="11"/>
  <c r="AC24" i="11" s="1"/>
  <c r="AB6" i="11"/>
  <c r="AB22" i="11" s="1"/>
  <c r="O12" i="11"/>
  <c r="O22" i="11"/>
  <c r="AB7" i="11"/>
  <c r="O13" i="11"/>
  <c r="AB8" i="11"/>
  <c r="AB23" i="11" s="1"/>
  <c r="O23" i="11"/>
  <c r="O9" i="11"/>
  <c r="O24" i="11" s="1"/>
  <c r="O11" i="9"/>
  <c r="O14" i="11" l="1"/>
  <c r="AB9" i="11"/>
  <c r="AB24" i="11" s="1"/>
  <c r="Z31" i="8"/>
  <c r="Y31" i="8"/>
  <c r="X31" i="8"/>
  <c r="W31" i="8"/>
  <c r="V31" i="8"/>
  <c r="U31" i="8"/>
  <c r="T31" i="8"/>
  <c r="S31" i="8"/>
  <c r="R31" i="8"/>
  <c r="Z30" i="8"/>
  <c r="Y30" i="8"/>
  <c r="X30" i="8"/>
  <c r="W30" i="8"/>
  <c r="V30" i="8"/>
  <c r="U30" i="8"/>
  <c r="T30" i="8"/>
  <c r="S30" i="8"/>
  <c r="R30" i="8"/>
  <c r="Z29" i="8"/>
  <c r="Y29" i="8"/>
  <c r="X29" i="8"/>
  <c r="W29" i="8"/>
  <c r="V29" i="8"/>
  <c r="U29" i="8"/>
  <c r="T29" i="8"/>
  <c r="S29" i="8"/>
  <c r="R29" i="8"/>
  <c r="Z28" i="8"/>
  <c r="Y28" i="8"/>
  <c r="X28" i="8"/>
  <c r="W28" i="8"/>
  <c r="V28" i="8"/>
  <c r="U28" i="8"/>
  <c r="T28" i="8"/>
  <c r="S28" i="8"/>
  <c r="R28" i="8"/>
  <c r="AA27" i="8"/>
  <c r="Z27" i="8"/>
  <c r="Y27" i="8"/>
  <c r="X27" i="8"/>
  <c r="W27" i="8"/>
  <c r="V27" i="8"/>
  <c r="U27" i="8"/>
  <c r="T27" i="8"/>
  <c r="S27" i="8"/>
  <c r="R27" i="8"/>
  <c r="AA30" i="8"/>
  <c r="AC28" i="8"/>
  <c r="C29" i="8"/>
  <c r="AB28" i="8" l="1"/>
  <c r="AA28" i="8"/>
  <c r="AA29" i="8" l="1"/>
  <c r="AC29" i="8"/>
  <c r="AC31" i="8"/>
  <c r="AB29" i="8"/>
  <c r="AA6" i="8"/>
  <c r="AA5" i="8"/>
  <c r="N21" i="9"/>
  <c r="N30" i="9"/>
  <c r="N40" i="9"/>
  <c r="AB31" i="8" l="1"/>
  <c r="AA31" i="8"/>
  <c r="AA7" i="8"/>
  <c r="N11" i="9"/>
  <c r="AA18" i="11" l="1"/>
  <c r="AA23" i="11" s="1"/>
  <c r="AA17" i="11"/>
  <c r="AA7" i="11"/>
  <c r="AA8" i="11"/>
  <c r="AA6" i="11"/>
  <c r="N23" i="11"/>
  <c r="N22" i="11"/>
  <c r="N13" i="11"/>
  <c r="N14" i="11" s="1"/>
  <c r="AA22" i="11" l="1"/>
  <c r="AA19" i="11"/>
  <c r="N19" i="11"/>
  <c r="N9" i="11"/>
  <c r="AA9" i="11"/>
  <c r="N24" i="11" l="1"/>
  <c r="AA24" i="11"/>
  <c r="N55" i="7" l="1"/>
  <c r="N23" i="7"/>
  <c r="N9" i="5" l="1"/>
  <c r="N6" i="5"/>
  <c r="N40" i="8"/>
  <c r="AA40" i="8" l="1"/>
  <c r="O40" i="8"/>
  <c r="O41" i="8" s="1"/>
  <c r="O45" i="8" s="1"/>
  <c r="AB40" i="8"/>
  <c r="N10" i="5"/>
  <c r="N39" i="8"/>
  <c r="N38" i="8"/>
  <c r="AA23" i="8"/>
  <c r="AA18" i="8"/>
  <c r="AA17" i="8"/>
  <c r="AA11" i="8"/>
  <c r="AA12" i="8"/>
  <c r="AA13" i="8"/>
  <c r="AA10" i="8"/>
  <c r="N7" i="8"/>
  <c r="N14" i="8" s="1"/>
  <c r="N19" i="8" s="1"/>
  <c r="N24" i="8" s="1"/>
  <c r="AC33" i="8" s="1"/>
  <c r="N47" i="7"/>
  <c r="N37" i="7"/>
  <c r="N12" i="7"/>
  <c r="E38" i="12"/>
  <c r="AA38" i="8" l="1"/>
  <c r="N46" i="8"/>
  <c r="N37" i="8"/>
  <c r="N44" i="8"/>
  <c r="N57" i="7"/>
  <c r="N25" i="7"/>
  <c r="N41" i="8" l="1"/>
  <c r="N45" i="8" s="1"/>
  <c r="AA14" i="8"/>
  <c r="AA19" i="8" s="1"/>
  <c r="AA44" i="8"/>
  <c r="N58" i="7"/>
  <c r="M21" i="9"/>
  <c r="M40" i="9"/>
  <c r="M30" i="9"/>
  <c r="M11" i="9"/>
  <c r="Z19" i="11" l="1"/>
  <c r="Z18" i="11"/>
  <c r="Z17" i="11"/>
  <c r="Z8" i="11"/>
  <c r="Z7" i="11"/>
  <c r="Z9" i="11" s="1"/>
  <c r="Z6" i="11"/>
  <c r="M23" i="11"/>
  <c r="M22" i="11"/>
  <c r="M19" i="11"/>
  <c r="M13" i="11"/>
  <c r="M12" i="11"/>
  <c r="Z12" i="11" s="1"/>
  <c r="M9" i="11"/>
  <c r="M24" i="11" l="1"/>
  <c r="AB13" i="11"/>
  <c r="AC13" i="11"/>
  <c r="AA13" i="11"/>
  <c r="M14" i="11"/>
  <c r="AB12" i="11"/>
  <c r="AB14" i="11" s="1"/>
  <c r="AC12" i="11"/>
  <c r="AA12" i="11"/>
  <c r="AA14" i="11" s="1"/>
  <c r="Z13" i="11"/>
  <c r="Z14" i="11" s="1"/>
  <c r="Z24" i="11"/>
  <c r="Z23" i="11"/>
  <c r="Z22" i="11"/>
  <c r="AC14" i="11" l="1"/>
  <c r="M9" i="5"/>
  <c r="M6" i="5"/>
  <c r="Z40" i="8"/>
  <c r="Z18" i="8"/>
  <c r="Z23" i="8"/>
  <c r="Z17" i="8"/>
  <c r="Z13" i="8"/>
  <c r="Z12" i="8"/>
  <c r="Z11" i="8"/>
  <c r="Z10" i="8"/>
  <c r="Z6" i="8"/>
  <c r="Z5" i="8"/>
  <c r="Z7" i="8" s="1"/>
  <c r="M38" i="8"/>
  <c r="M7" i="8"/>
  <c r="M14" i="8" s="1"/>
  <c r="M19" i="8" s="1"/>
  <c r="M55" i="7"/>
  <c r="M47" i="7"/>
  <c r="M37" i="7"/>
  <c r="M23" i="7"/>
  <c r="M25" i="7" s="1"/>
  <c r="M12" i="7"/>
  <c r="M10" i="5" l="1"/>
  <c r="Z38" i="8"/>
  <c r="Z14" i="8"/>
  <c r="Z19" i="8" s="1"/>
  <c r="Z44" i="8"/>
  <c r="M44" i="8"/>
  <c r="M57" i="7"/>
  <c r="M58" i="7" s="1"/>
  <c r="I13" i="11" l="1"/>
  <c r="H12" i="11"/>
  <c r="E13" i="11"/>
  <c r="E12" i="11"/>
  <c r="K9" i="11"/>
  <c r="J9" i="11"/>
  <c r="F19" i="11" l="1"/>
  <c r="G12" i="11"/>
  <c r="H13" i="11"/>
  <c r="H14" i="11" s="1"/>
  <c r="W8" i="11"/>
  <c r="K13" i="11"/>
  <c r="K12" i="11"/>
  <c r="F12" i="11"/>
  <c r="J13" i="11"/>
  <c r="G13" i="11"/>
  <c r="J12" i="11"/>
  <c r="I9" i="11"/>
  <c r="K19" i="11"/>
  <c r="L13" i="11"/>
  <c r="L12" i="11"/>
  <c r="L19" i="11"/>
  <c r="F9" i="11"/>
  <c r="G9" i="11"/>
  <c r="I12" i="11"/>
  <c r="I14" i="11" s="1"/>
  <c r="H19" i="11"/>
  <c r="H9" i="11"/>
  <c r="I19" i="11"/>
  <c r="J19" i="11"/>
  <c r="F13" i="11"/>
  <c r="L9" i="11"/>
  <c r="G19" i="11"/>
  <c r="E19" i="11"/>
  <c r="E9" i="11"/>
  <c r="E14" i="11"/>
  <c r="G14" i="11" l="1"/>
  <c r="J14" i="11"/>
  <c r="L14" i="11"/>
  <c r="K14" i="11"/>
  <c r="F14" i="11"/>
  <c r="E65" i="12"/>
  <c r="E58" i="12"/>
  <c r="E69" i="12"/>
  <c r="L23" i="8" l="1"/>
  <c r="L22" i="8"/>
  <c r="M22" i="8" s="1"/>
  <c r="AB22" i="8" s="1"/>
  <c r="L17" i="8"/>
  <c r="L18" i="8"/>
  <c r="L13" i="8"/>
  <c r="L11" i="8"/>
  <c r="L10" i="8"/>
  <c r="L6" i="8"/>
  <c r="L5" i="8"/>
  <c r="F23" i="7"/>
  <c r="G23" i="7"/>
  <c r="H23" i="7"/>
  <c r="I23" i="7"/>
  <c r="J23" i="7"/>
  <c r="K23" i="7"/>
  <c r="L23" i="7"/>
  <c r="E23" i="7"/>
  <c r="E46" i="12"/>
  <c r="F23" i="11"/>
  <c r="G23" i="11"/>
  <c r="H23" i="11"/>
  <c r="I23" i="11"/>
  <c r="J23" i="11"/>
  <c r="K23" i="11"/>
  <c r="L23" i="11"/>
  <c r="E23" i="11"/>
  <c r="F22" i="11"/>
  <c r="G22" i="11"/>
  <c r="H22" i="11"/>
  <c r="I22" i="11"/>
  <c r="J22" i="11"/>
  <c r="K22" i="11"/>
  <c r="L22" i="11"/>
  <c r="E22" i="11"/>
  <c r="Y6" i="11"/>
  <c r="X6" i="11"/>
  <c r="W6" i="11"/>
  <c r="V6" i="11"/>
  <c r="U6" i="11"/>
  <c r="T6" i="11"/>
  <c r="S6" i="11"/>
  <c r="R6" i="11"/>
  <c r="Y9" i="11"/>
  <c r="X9" i="11"/>
  <c r="W9" i="11"/>
  <c r="V9" i="11"/>
  <c r="U9" i="11"/>
  <c r="T9" i="11"/>
  <c r="S9" i="11"/>
  <c r="R9" i="11"/>
  <c r="Y8" i="11"/>
  <c r="X8" i="11"/>
  <c r="V8" i="11"/>
  <c r="U8" i="11"/>
  <c r="T8" i="11"/>
  <c r="S8" i="11"/>
  <c r="R8" i="11"/>
  <c r="Y7" i="11"/>
  <c r="X7" i="11"/>
  <c r="W7" i="11"/>
  <c r="V7" i="11"/>
  <c r="U7" i="11"/>
  <c r="T7" i="11"/>
  <c r="S7" i="11"/>
  <c r="R7" i="11"/>
  <c r="Y18" i="11"/>
  <c r="X18" i="11"/>
  <c r="W18" i="11"/>
  <c r="V18" i="11"/>
  <c r="U18" i="11"/>
  <c r="T18" i="11"/>
  <c r="S18" i="11"/>
  <c r="R18" i="11"/>
  <c r="Y17" i="11"/>
  <c r="X17" i="11"/>
  <c r="W17" i="11"/>
  <c r="V17" i="11"/>
  <c r="U17" i="11"/>
  <c r="T17" i="11"/>
  <c r="S17" i="11"/>
  <c r="R17" i="11"/>
  <c r="R12" i="11"/>
  <c r="S12" i="11"/>
  <c r="T12" i="11"/>
  <c r="U12" i="11"/>
  <c r="V12" i="11"/>
  <c r="W12" i="11"/>
  <c r="X12" i="11"/>
  <c r="Y12" i="11"/>
  <c r="R13" i="11"/>
  <c r="S13" i="11"/>
  <c r="T13" i="11"/>
  <c r="U13" i="11"/>
  <c r="V13" i="11"/>
  <c r="W13" i="11"/>
  <c r="X13" i="11"/>
  <c r="Y13" i="11"/>
  <c r="L24" i="11"/>
  <c r="K24" i="11"/>
  <c r="J24" i="11"/>
  <c r="G24" i="11"/>
  <c r="S19" i="11"/>
  <c r="Y14" i="11"/>
  <c r="X14" i="11"/>
  <c r="W14" i="11"/>
  <c r="V14" i="11"/>
  <c r="T14" i="11"/>
  <c r="S14" i="11"/>
  <c r="R14" i="11"/>
  <c r="U14" i="11"/>
  <c r="L40" i="9"/>
  <c r="K40" i="9"/>
  <c r="J40" i="9"/>
  <c r="I40" i="9"/>
  <c r="H40" i="9"/>
  <c r="G40" i="9"/>
  <c r="F40" i="9"/>
  <c r="E40" i="9"/>
  <c r="L21" i="9"/>
  <c r="K21" i="9"/>
  <c r="J21" i="9"/>
  <c r="I21" i="9"/>
  <c r="H21" i="9"/>
  <c r="G21" i="9"/>
  <c r="F21" i="9"/>
  <c r="E21" i="9"/>
  <c r="L30" i="9"/>
  <c r="K30" i="9"/>
  <c r="J30" i="9"/>
  <c r="I30" i="9"/>
  <c r="H30" i="9"/>
  <c r="G30" i="9"/>
  <c r="F30" i="9"/>
  <c r="E30" i="9"/>
  <c r="AB39" i="8" l="1"/>
  <c r="AB24" i="8"/>
  <c r="Z22" i="8"/>
  <c r="AA22" i="8"/>
  <c r="Z39" i="8"/>
  <c r="Z24" i="8"/>
  <c r="E70" i="12"/>
  <c r="M39" i="8"/>
  <c r="M24" i="8"/>
  <c r="M33" i="8" s="1"/>
  <c r="AB33" i="8" s="1"/>
  <c r="V23" i="11"/>
  <c r="X22" i="11"/>
  <c r="S24" i="11"/>
  <c r="X23" i="11"/>
  <c r="Y22" i="11"/>
  <c r="V22" i="11"/>
  <c r="Y23" i="11"/>
  <c r="W23" i="11"/>
  <c r="W22" i="11"/>
  <c r="S22" i="11"/>
  <c r="T22" i="11"/>
  <c r="R22" i="11"/>
  <c r="U22" i="11"/>
  <c r="R23" i="11"/>
  <c r="Y19" i="11"/>
  <c r="Y24" i="11" s="1"/>
  <c r="T23" i="11"/>
  <c r="U23" i="11"/>
  <c r="S23" i="11"/>
  <c r="T19" i="11"/>
  <c r="T24" i="11" s="1"/>
  <c r="V19" i="11"/>
  <c r="V24" i="11" s="1"/>
  <c r="I24" i="11"/>
  <c r="W19" i="11"/>
  <c r="W24" i="11" s="1"/>
  <c r="X19" i="11"/>
  <c r="X24" i="11" s="1"/>
  <c r="F24" i="11"/>
  <c r="R19" i="11"/>
  <c r="R24" i="11" s="1"/>
  <c r="E24" i="11"/>
  <c r="L11" i="9"/>
  <c r="K11" i="9"/>
  <c r="J11" i="9"/>
  <c r="I11" i="9"/>
  <c r="H11" i="9"/>
  <c r="G11" i="9"/>
  <c r="F11" i="9"/>
  <c r="E11" i="9"/>
  <c r="H23" i="8"/>
  <c r="H22" i="8"/>
  <c r="H18" i="8"/>
  <c r="H17" i="8"/>
  <c r="H13" i="8"/>
  <c r="H11" i="8"/>
  <c r="H10" i="8"/>
  <c r="H6" i="8"/>
  <c r="H5" i="8"/>
  <c r="AB37" i="8" l="1"/>
  <c r="AB41" i="8" s="1"/>
  <c r="AB45" i="8" s="1"/>
  <c r="AB46" i="8"/>
  <c r="AA33" i="8"/>
  <c r="Z33" i="8"/>
  <c r="AA39" i="8"/>
  <c r="AA24" i="8"/>
  <c r="AA37" i="8" s="1"/>
  <c r="Z37" i="8"/>
  <c r="Z41" i="8" s="1"/>
  <c r="Z45" i="8" s="1"/>
  <c r="Z46" i="8"/>
  <c r="M46" i="8"/>
  <c r="M37" i="8"/>
  <c r="M41" i="8" s="1"/>
  <c r="H24" i="11"/>
  <c r="U19" i="11"/>
  <c r="U24" i="11" s="1"/>
  <c r="I55" i="7"/>
  <c r="I47" i="7"/>
  <c r="I37" i="7"/>
  <c r="I12" i="7"/>
  <c r="I25" i="7" s="1"/>
  <c r="AA41" i="8" l="1"/>
  <c r="AA45" i="8" s="1"/>
  <c r="AA46" i="8"/>
  <c r="M45" i="8"/>
  <c r="L9" i="5"/>
  <c r="K9" i="5"/>
  <c r="J9" i="5"/>
  <c r="I9" i="5"/>
  <c r="H9" i="5"/>
  <c r="G10" i="5"/>
  <c r="G12" i="5" s="1"/>
  <c r="F10" i="5"/>
  <c r="F12" i="5" s="1"/>
  <c r="E10" i="5"/>
  <c r="E12" i="5" s="1"/>
  <c r="L6" i="5"/>
  <c r="K6" i="5"/>
  <c r="J6" i="5"/>
  <c r="I6" i="5"/>
  <c r="H6" i="5"/>
  <c r="L38" i="8"/>
  <c r="K38" i="8"/>
  <c r="J38" i="8"/>
  <c r="I38" i="8"/>
  <c r="H38" i="8"/>
  <c r="G38" i="8"/>
  <c r="F38" i="8"/>
  <c r="E38" i="8"/>
  <c r="L39" i="8"/>
  <c r="K39" i="8"/>
  <c r="J39" i="8"/>
  <c r="I39" i="8"/>
  <c r="H39" i="8"/>
  <c r="G39" i="8"/>
  <c r="F39" i="8"/>
  <c r="E39" i="8"/>
  <c r="V40" i="8"/>
  <c r="R40" i="8"/>
  <c r="J40" i="8"/>
  <c r="F40" i="8"/>
  <c r="S40" i="8" s="1"/>
  <c r="Y23" i="8"/>
  <c r="X23" i="8"/>
  <c r="W23" i="8"/>
  <c r="V23" i="8"/>
  <c r="U23" i="8"/>
  <c r="T23" i="8"/>
  <c r="S23" i="8"/>
  <c r="R23" i="8"/>
  <c r="Y22" i="8"/>
  <c r="X22" i="8"/>
  <c r="X39" i="8" s="1"/>
  <c r="W22" i="8"/>
  <c r="V22" i="8"/>
  <c r="U22" i="8"/>
  <c r="U39" i="8" s="1"/>
  <c r="T22" i="8"/>
  <c r="T39" i="8" s="1"/>
  <c r="S22" i="8"/>
  <c r="S39" i="8" s="1"/>
  <c r="R22" i="8"/>
  <c r="Y18" i="8"/>
  <c r="X18" i="8"/>
  <c r="W18" i="8"/>
  <c r="V18" i="8"/>
  <c r="U18" i="8"/>
  <c r="T18" i="8"/>
  <c r="S18" i="8"/>
  <c r="R18" i="8"/>
  <c r="Y17" i="8"/>
  <c r="X17" i="8"/>
  <c r="X38" i="8" s="1"/>
  <c r="W17" i="8"/>
  <c r="W38" i="8" s="1"/>
  <c r="V17" i="8"/>
  <c r="V38" i="8" s="1"/>
  <c r="U17" i="8"/>
  <c r="T17" i="8"/>
  <c r="T38" i="8" s="1"/>
  <c r="S17" i="8"/>
  <c r="S38" i="8" s="1"/>
  <c r="R17" i="8"/>
  <c r="R38" i="8" s="1"/>
  <c r="Y13" i="8"/>
  <c r="X13" i="8"/>
  <c r="W13" i="8"/>
  <c r="V13" i="8"/>
  <c r="U13" i="8"/>
  <c r="T13" i="8"/>
  <c r="S13" i="8"/>
  <c r="R13" i="8"/>
  <c r="Y12" i="8"/>
  <c r="X12" i="8"/>
  <c r="W12" i="8"/>
  <c r="V12" i="8"/>
  <c r="U12" i="8"/>
  <c r="T12" i="8"/>
  <c r="S12" i="8"/>
  <c r="R12" i="8"/>
  <c r="Y11" i="8"/>
  <c r="X11" i="8"/>
  <c r="W11" i="8"/>
  <c r="V11" i="8"/>
  <c r="U11" i="8"/>
  <c r="T11" i="8"/>
  <c r="S11" i="8"/>
  <c r="R11" i="8"/>
  <c r="Y10" i="8"/>
  <c r="X10" i="8"/>
  <c r="W10" i="8"/>
  <c r="V10" i="8"/>
  <c r="U10" i="8"/>
  <c r="T10" i="8"/>
  <c r="S10" i="8"/>
  <c r="R10" i="8"/>
  <c r="Y6" i="8"/>
  <c r="X6" i="8"/>
  <c r="W6" i="8"/>
  <c r="V6" i="8"/>
  <c r="U6" i="8"/>
  <c r="T6" i="8"/>
  <c r="S6" i="8"/>
  <c r="R6" i="8"/>
  <c r="Y5" i="8"/>
  <c r="X5" i="8"/>
  <c r="W5" i="8"/>
  <c r="V5" i="8"/>
  <c r="V7" i="8" s="1"/>
  <c r="V14" i="8" s="1"/>
  <c r="U5" i="8"/>
  <c r="U7" i="8" s="1"/>
  <c r="U44" i="8" s="1"/>
  <c r="S5" i="8"/>
  <c r="T5" i="8"/>
  <c r="R5" i="8"/>
  <c r="R7" i="8" s="1"/>
  <c r="R44" i="8" s="1"/>
  <c r="L7" i="8"/>
  <c r="L14" i="8" s="1"/>
  <c r="L19" i="8" s="1"/>
  <c r="L24" i="8" s="1"/>
  <c r="K7" i="8"/>
  <c r="K14" i="8" s="1"/>
  <c r="K19" i="8" s="1"/>
  <c r="K24" i="8" s="1"/>
  <c r="J7" i="8"/>
  <c r="J14" i="8" s="1"/>
  <c r="J19" i="8" s="1"/>
  <c r="J24" i="8" s="1"/>
  <c r="I7" i="8"/>
  <c r="I14" i="8" s="1"/>
  <c r="I19" i="8" s="1"/>
  <c r="I24" i="8" s="1"/>
  <c r="H7" i="8"/>
  <c r="H14" i="8" s="1"/>
  <c r="H19" i="8" s="1"/>
  <c r="H24" i="8" s="1"/>
  <c r="G7" i="8"/>
  <c r="G14" i="8" s="1"/>
  <c r="G19" i="8" s="1"/>
  <c r="G24" i="8" s="1"/>
  <c r="F7" i="8"/>
  <c r="F14" i="8" s="1"/>
  <c r="F19" i="8" s="1"/>
  <c r="F24" i="8" s="1"/>
  <c r="E7" i="8"/>
  <c r="E14" i="8" s="1"/>
  <c r="E19" i="8" s="1"/>
  <c r="E24" i="8" s="1"/>
  <c r="L55" i="7"/>
  <c r="K55" i="7"/>
  <c r="J55" i="7"/>
  <c r="H55" i="7"/>
  <c r="G55" i="7"/>
  <c r="F55" i="7"/>
  <c r="E55" i="7"/>
  <c r="L47" i="7"/>
  <c r="K47" i="7"/>
  <c r="J47" i="7"/>
  <c r="H47" i="7"/>
  <c r="G47" i="7"/>
  <c r="F47" i="7"/>
  <c r="E47" i="7"/>
  <c r="E37" i="7"/>
  <c r="F37" i="7"/>
  <c r="G37" i="7"/>
  <c r="H37" i="7"/>
  <c r="J37" i="7"/>
  <c r="K37" i="7"/>
  <c r="L37" i="7"/>
  <c r="E12" i="7"/>
  <c r="F12" i="7"/>
  <c r="G12" i="7"/>
  <c r="H12" i="7"/>
  <c r="J12" i="7"/>
  <c r="K12" i="7"/>
  <c r="L12" i="7"/>
  <c r="W39" i="8" l="1"/>
  <c r="H10" i="5"/>
  <c r="I10" i="5"/>
  <c r="K37" i="8"/>
  <c r="K33" i="8"/>
  <c r="I37" i="8"/>
  <c r="I41" i="8" s="1"/>
  <c r="I45" i="8" s="1"/>
  <c r="I33" i="8"/>
  <c r="J46" i="8"/>
  <c r="J33" i="8"/>
  <c r="L37" i="8"/>
  <c r="L33" i="8"/>
  <c r="E37" i="8"/>
  <c r="E33" i="8"/>
  <c r="F37" i="8"/>
  <c r="F41" i="8" s="1"/>
  <c r="F45" i="8" s="1"/>
  <c r="F33" i="8"/>
  <c r="V39" i="8"/>
  <c r="G37" i="8"/>
  <c r="G33" i="8"/>
  <c r="H37" i="8"/>
  <c r="H33" i="8"/>
  <c r="U38" i="8"/>
  <c r="W7" i="8"/>
  <c r="W44" i="8" s="1"/>
  <c r="W40" i="8"/>
  <c r="R39" i="8"/>
  <c r="E46" i="8"/>
  <c r="J37" i="8"/>
  <c r="J41" i="8" s="1"/>
  <c r="F46" i="8"/>
  <c r="G46" i="8"/>
  <c r="Y39" i="8"/>
  <c r="Y38" i="8"/>
  <c r="L44" i="8"/>
  <c r="E57" i="7"/>
  <c r="F57" i="7"/>
  <c r="G57" i="7"/>
  <c r="H57" i="7"/>
  <c r="J57" i="7"/>
  <c r="K10" i="5"/>
  <c r="J10" i="5"/>
  <c r="L10" i="5"/>
  <c r="E44" i="8"/>
  <c r="K44" i="8"/>
  <c r="F44" i="8"/>
  <c r="H46" i="8"/>
  <c r="G44" i="8"/>
  <c r="I46" i="8"/>
  <c r="V44" i="8"/>
  <c r="H44" i="8"/>
  <c r="I44" i="8"/>
  <c r="K46" i="8"/>
  <c r="J44" i="8"/>
  <c r="L46" i="8"/>
  <c r="S7" i="8"/>
  <c r="S44" i="8" s="1"/>
  <c r="K40" i="8"/>
  <c r="G40" i="8"/>
  <c r="T40" i="8" s="1"/>
  <c r="W14" i="8"/>
  <c r="W19" i="8" s="1"/>
  <c r="W24" i="8" s="1"/>
  <c r="R14" i="8"/>
  <c r="R19" i="8" s="1"/>
  <c r="R24" i="8" s="1"/>
  <c r="V19" i="8"/>
  <c r="V24" i="8" s="1"/>
  <c r="E41" i="8"/>
  <c r="E45" i="8" s="1"/>
  <c r="T7" i="8"/>
  <c r="T44" i="8" s="1"/>
  <c r="X7" i="8"/>
  <c r="Y7" i="8"/>
  <c r="U14" i="8"/>
  <c r="U19" i="8" s="1"/>
  <c r="U24" i="8" s="1"/>
  <c r="I57" i="7"/>
  <c r="L57" i="7"/>
  <c r="L25" i="7"/>
  <c r="K57" i="7"/>
  <c r="K25" i="7"/>
  <c r="G25" i="7"/>
  <c r="F25" i="7"/>
  <c r="E25" i="7"/>
  <c r="J25" i="7"/>
  <c r="H25" i="7"/>
  <c r="Y33" i="8" l="1"/>
  <c r="W33" i="8"/>
  <c r="V33" i="8"/>
  <c r="S33" i="8"/>
  <c r="T33" i="8"/>
  <c r="R33" i="8"/>
  <c r="U33" i="8"/>
  <c r="X33" i="8"/>
  <c r="F58" i="7"/>
  <c r="E58" i="7"/>
  <c r="J45" i="8"/>
  <c r="G41" i="8"/>
  <c r="G45" i="8" s="1"/>
  <c r="T14" i="8"/>
  <c r="T19" i="8" s="1"/>
  <c r="T24" i="8" s="1"/>
  <c r="T37" i="8" s="1"/>
  <c r="T41" i="8" s="1"/>
  <c r="T45" i="8" s="1"/>
  <c r="X40" i="8"/>
  <c r="L40" i="8"/>
  <c r="L41" i="8" s="1"/>
  <c r="H40" i="8"/>
  <c r="H41" i="8" s="1"/>
  <c r="G58" i="7"/>
  <c r="H58" i="7"/>
  <c r="J58" i="7"/>
  <c r="Y14" i="8"/>
  <c r="Y19" i="8" s="1"/>
  <c r="Y24" i="8" s="1"/>
  <c r="Y37" i="8" s="1"/>
  <c r="Y44" i="8"/>
  <c r="X14" i="8"/>
  <c r="X19" i="8" s="1"/>
  <c r="X24" i="8" s="1"/>
  <c r="X44" i="8"/>
  <c r="R37" i="8"/>
  <c r="R41" i="8" s="1"/>
  <c r="R45" i="8" s="1"/>
  <c r="R46" i="8"/>
  <c r="V37" i="8"/>
  <c r="V41" i="8" s="1"/>
  <c r="V45" i="8" s="1"/>
  <c r="V46" i="8"/>
  <c r="W37" i="8"/>
  <c r="W41" i="8" s="1"/>
  <c r="W45" i="8" s="1"/>
  <c r="W46" i="8"/>
  <c r="U37" i="8"/>
  <c r="U46" i="8"/>
  <c r="K41" i="8"/>
  <c r="S14" i="8"/>
  <c r="S19" i="8" s="1"/>
  <c r="S24" i="8" s="1"/>
  <c r="I58" i="7"/>
  <c r="L58" i="7"/>
  <c r="K58" i="7"/>
  <c r="L45" i="8" l="1"/>
  <c r="O11" i="5"/>
  <c r="O12" i="5" s="1"/>
  <c r="K45" i="8"/>
  <c r="N11" i="5"/>
  <c r="N12" i="5" s="1"/>
  <c r="I11" i="5"/>
  <c r="I12" i="5" s="1"/>
  <c r="Y40" i="8"/>
  <c r="Y41" i="8" s="1"/>
  <c r="Y45" i="8" s="1"/>
  <c r="T46" i="8"/>
  <c r="M11" i="5"/>
  <c r="M12" i="5" s="1"/>
  <c r="H11" i="5"/>
  <c r="H12" i="5" s="1"/>
  <c r="H45" i="8"/>
  <c r="K11" i="5"/>
  <c r="K12" i="5" s="1"/>
  <c r="J11" i="5"/>
  <c r="J12" i="5" s="1"/>
  <c r="U40" i="8"/>
  <c r="U41" i="8" s="1"/>
  <c r="U45" i="8" s="1"/>
  <c r="L11" i="5"/>
  <c r="L12" i="5" s="1"/>
  <c r="S37" i="8"/>
  <c r="S41" i="8" s="1"/>
  <c r="S45" i="8" s="1"/>
  <c r="S46" i="8"/>
  <c r="X37" i="8"/>
  <c r="X41" i="8" s="1"/>
  <c r="X45" i="8" s="1"/>
  <c r="X46" i="8"/>
  <c r="Y46" i="8"/>
</calcChain>
</file>

<file path=xl/sharedStrings.xml><?xml version="1.0" encoding="utf-8"?>
<sst xmlns="http://schemas.openxmlformats.org/spreadsheetml/2006/main" count="313" uniqueCount="199">
  <si>
    <t>1T19</t>
  </si>
  <si>
    <t>2T19</t>
  </si>
  <si>
    <t>3T19</t>
  </si>
  <si>
    <t>4T19</t>
  </si>
  <si>
    <t>1T20</t>
  </si>
  <si>
    <t>Endividamento</t>
  </si>
  <si>
    <t>2T20</t>
  </si>
  <si>
    <t>3T20</t>
  </si>
  <si>
    <t>4T20</t>
  </si>
  <si>
    <t>Títulos e valores mobiliários</t>
  </si>
  <si>
    <t>Caixa e equivalentes de caixa</t>
  </si>
  <si>
    <t>Contas a receber</t>
  </si>
  <si>
    <t>Estoques</t>
  </si>
  <si>
    <t>Tributos a recuperar</t>
  </si>
  <si>
    <t>Partes relacionadas</t>
  </si>
  <si>
    <t>Outros ativos</t>
  </si>
  <si>
    <t>Investimento</t>
  </si>
  <si>
    <t>Direito de uso</t>
  </si>
  <si>
    <t>Imobilizado</t>
  </si>
  <si>
    <t>Intangível</t>
  </si>
  <si>
    <t>Ativo não circulante</t>
  </si>
  <si>
    <t>Ativo Circulante</t>
  </si>
  <si>
    <t>Total do ativo</t>
  </si>
  <si>
    <t>Fornecedores</t>
  </si>
  <si>
    <t>Obrigações contratuais com clientes</t>
  </si>
  <si>
    <t>Arrendamento mercantil</t>
  </si>
  <si>
    <t>Empréstimos, financiamentos e debêntures</t>
  </si>
  <si>
    <t>Obrigações trabalhistas</t>
  </si>
  <si>
    <t>Obrigações tributárias</t>
  </si>
  <si>
    <t>Adiantamento de clientes</t>
  </si>
  <si>
    <t>Dividendos a pagar</t>
  </si>
  <si>
    <t>Outros passivos</t>
  </si>
  <si>
    <t>Passivo circulante</t>
  </si>
  <si>
    <t>Provisão para demandas judiciais</t>
  </si>
  <si>
    <t>IR e CSLL diferidos</t>
  </si>
  <si>
    <t>Capital social</t>
  </si>
  <si>
    <t>Reserva de capital</t>
  </si>
  <si>
    <t>Reserva de lucros</t>
  </si>
  <si>
    <t>Total do passivo</t>
  </si>
  <si>
    <t>Check:</t>
  </si>
  <si>
    <t>Receita líquida de vendas</t>
  </si>
  <si>
    <t>Custo dos produtos vendidos</t>
  </si>
  <si>
    <t>Lucro Bruto</t>
  </si>
  <si>
    <t>Com vendas</t>
  </si>
  <si>
    <t>Gerais e administrativas</t>
  </si>
  <si>
    <t>Equivalência patrimonial</t>
  </si>
  <si>
    <t>Lucro operacional antes do resultado financeiro</t>
  </si>
  <si>
    <t>Lucro antes do IR e CSLL</t>
  </si>
  <si>
    <t>Corrente</t>
  </si>
  <si>
    <t>Lucro líquido do período</t>
  </si>
  <si>
    <t>6M19</t>
  </si>
  <si>
    <t>3M19</t>
  </si>
  <si>
    <t>9M19</t>
  </si>
  <si>
    <t>FY19</t>
  </si>
  <si>
    <t>3M20</t>
  </si>
  <si>
    <t>6M20</t>
  </si>
  <si>
    <t>9M20</t>
  </si>
  <si>
    <t>FY20</t>
  </si>
  <si>
    <t>Acumulado no ano</t>
  </si>
  <si>
    <t>Trimestral</t>
  </si>
  <si>
    <t>Demonstração dos resultados | Consolidado, R$ mil</t>
  </si>
  <si>
    <t>Balanço Patrimonial | Consolidado, R$ mil</t>
  </si>
  <si>
    <t>Voltar</t>
  </si>
  <si>
    <t>Relações com Investidores:</t>
  </si>
  <si>
    <t>Luis Gustavo Ferraz Antunes</t>
  </si>
  <si>
    <t>Fabiana Lawant</t>
  </si>
  <si>
    <t>E-mail: ri@alliedbrasil.com.br</t>
  </si>
  <si>
    <t>Website: ri.alliedbrasil.com.br</t>
  </si>
  <si>
    <t>Total</t>
  </si>
  <si>
    <t>(+) IR/CSLL corrente e diferido</t>
  </si>
  <si>
    <t>(+) Depreciação e amortização</t>
  </si>
  <si>
    <t>(+) Resultado financeiro líquido</t>
  </si>
  <si>
    <t>Margens (% Receita líquida)</t>
  </si>
  <si>
    <t>Margem Bruta</t>
  </si>
  <si>
    <t>Margem EBITDA</t>
  </si>
  <si>
    <t>Margem Líquida</t>
  </si>
  <si>
    <t>*DFs de 2019 foram reparesentadas, resultados trimestrais não disponível</t>
  </si>
  <si>
    <t>Dívida Bancária</t>
  </si>
  <si>
    <t>Contas a Pagar - aquisições</t>
  </si>
  <si>
    <t>Parcelamento tributário Wooza (PERT)</t>
  </si>
  <si>
    <t>(-) Caixa e equivalentes de Caixa</t>
  </si>
  <si>
    <t>Dívida Líquida</t>
  </si>
  <si>
    <t>Distribuição</t>
  </si>
  <si>
    <t>Varejo Digital</t>
  </si>
  <si>
    <t>Varejo Físico</t>
  </si>
  <si>
    <t>Volume de Produtos Vendidos (# unidades)</t>
  </si>
  <si>
    <t>Carteira de recebíveis (R$ mm)</t>
  </si>
  <si>
    <t>Clientes ativos (mil)</t>
  </si>
  <si>
    <t>Crédito e Financiamento Digital (Soudi)</t>
  </si>
  <si>
    <t>Outros Indicadores</t>
  </si>
  <si>
    <t>Produtos</t>
  </si>
  <si>
    <t>Trimestre</t>
  </si>
  <si>
    <t>Custo dos produtos vendidos:</t>
  </si>
  <si>
    <t>Varejo (Digital + Físico)</t>
  </si>
  <si>
    <t>Receita líquida e margem por canal de venda | Consolidado, R$ mil</t>
  </si>
  <si>
    <t>Fluxo de Caixa | Consolidado, R$ mil</t>
  </si>
  <si>
    <t>Fluxo de caixa das atividades operacionais</t>
  </si>
  <si>
    <t>Fluxo de caixa das atividades de investimento</t>
  </si>
  <si>
    <t>Fluxo de caixa das atividades de financiamento</t>
  </si>
  <si>
    <t>Caixa e equivalentes de caixa no início do período</t>
  </si>
  <si>
    <t>Caixa e equivalentes de caixa no final do período</t>
  </si>
  <si>
    <t>Aumento (redução) no caixa e equivalentes</t>
  </si>
  <si>
    <t>Lucro antes do imposto de renda e contribuição social</t>
  </si>
  <si>
    <t>Estoque</t>
  </si>
  <si>
    <t>Depreciação e amortização</t>
  </si>
  <si>
    <t>Provisão (reversão) para perdas de créditos esperadas</t>
  </si>
  <si>
    <t>Provisão para perdas nos estoques</t>
  </si>
  <si>
    <t>Provisão (reversão) para demandas judiciais</t>
  </si>
  <si>
    <t>Encargos financeiros (outras contas a pagar)</t>
  </si>
  <si>
    <t>Encargos financeiros (partes relacionadas)</t>
  </si>
  <si>
    <t>Encargos financeiros (empréstimos e financiamentos)</t>
  </si>
  <si>
    <t>Encargos financeiros (arrendamento mercantil)</t>
  </si>
  <si>
    <t>Resultado de equivalência patrimonial</t>
  </si>
  <si>
    <t>Custos incorridos na transação com debêntures</t>
  </si>
  <si>
    <t>Resultado pela baixa de ativos</t>
  </si>
  <si>
    <t>Reversão de indenização contratual</t>
  </si>
  <si>
    <t>(Acréscimo) e decréscimo de ativos:</t>
  </si>
  <si>
    <t xml:space="preserve"> </t>
  </si>
  <si>
    <t>Acréscimo e (decréscimo) de passivos:</t>
  </si>
  <si>
    <t>IR e CSLL pagos</t>
  </si>
  <si>
    <t>Aquisições de bens do ativo imobilizado e intangível</t>
  </si>
  <si>
    <t xml:space="preserve">Baixas de bens do ativo imobilizado e intangível </t>
  </si>
  <si>
    <t>Aquisição de títulos e valores mobiliários</t>
  </si>
  <si>
    <t>Recebimento de partes relacionadas</t>
  </si>
  <si>
    <t>Caixa líquido aquisição de/oriundo da aquisição e incorporação de controladas</t>
  </si>
  <si>
    <t>Ingressos de empréstimos e financiamentos</t>
  </si>
  <si>
    <t>Pagamentos de empréstimos e financiamentos</t>
  </si>
  <si>
    <t>Pagamento de juros de empréstimos e financiamentos</t>
  </si>
  <si>
    <t>Pagamento do principal de parcelamento de impostos</t>
  </si>
  <si>
    <t>Pagamento arrendamento mercantil</t>
  </si>
  <si>
    <t>Pagamento dos juros de parcelamento de impostos</t>
  </si>
  <si>
    <t>Gasto com emissão de ações</t>
  </si>
  <si>
    <t>Fluxo de caixa das atividades de financiamento com os acionistas</t>
  </si>
  <si>
    <t>Resgate de títulos e valores mobiliários</t>
  </si>
  <si>
    <t>Dividendos e juros sobre capital próprio pagos</t>
  </si>
  <si>
    <t>Pagamentos de outras contas a pagar</t>
  </si>
  <si>
    <t>Aumento de capital social</t>
  </si>
  <si>
    <t>Mobile</t>
  </si>
  <si>
    <t>Computador</t>
  </si>
  <si>
    <t>Linha Marrom</t>
  </si>
  <si>
    <t>Video game</t>
  </si>
  <si>
    <t>Impressoras</t>
  </si>
  <si>
    <t>Outros</t>
  </si>
  <si>
    <t>Celular</t>
  </si>
  <si>
    <t>Notebook</t>
  </si>
  <si>
    <t>Tablet</t>
  </si>
  <si>
    <t>TV</t>
  </si>
  <si>
    <t>Wearables</t>
  </si>
  <si>
    <t>Acessórios</t>
  </si>
  <si>
    <t>Serviços</t>
  </si>
  <si>
    <t>Patrimônio líquido</t>
  </si>
  <si>
    <t>Passivo não circulante</t>
  </si>
  <si>
    <t>1T21</t>
  </si>
  <si>
    <t>3M21</t>
  </si>
  <si>
    <t>E-readers</t>
  </si>
  <si>
    <t>Top 5 categorias de produtos vendidos - Distribuição; % Receita Líquida</t>
  </si>
  <si>
    <t>Top 5 sub-categorias de produtos vendidos - Varejo Digital; % Receita Líquida</t>
  </si>
  <si>
    <t>Top 5 sub-categorias de produtos vendidos - Varejo Físico; % Receita Líquida</t>
  </si>
  <si>
    <t>Notebooks</t>
  </si>
  <si>
    <t>Cancelamento de planos de outorga de opção de compras de ações</t>
  </si>
  <si>
    <t>2T21</t>
  </si>
  <si>
    <t>Ajuste de avaliação patrimonial</t>
  </si>
  <si>
    <t>6M21</t>
  </si>
  <si>
    <t xml:space="preserve">Gastos com emissão de ações </t>
  </si>
  <si>
    <t>Lucro do período</t>
  </si>
  <si>
    <t>Marcela Vieira Dias</t>
  </si>
  <si>
    <t>Receitas/despesas operacionais recorrentes</t>
  </si>
  <si>
    <t>Outras despesas e receitas operacionais recorrentes, liquidas</t>
  </si>
  <si>
    <t>Resultado financeiro recorrente</t>
  </si>
  <si>
    <t>Despesas financeiras recorrentes</t>
  </si>
  <si>
    <t>Receitas financeiras recorrentes</t>
  </si>
  <si>
    <t>IR e CSLL recorrente</t>
  </si>
  <si>
    <t>Diferido recorrente</t>
  </si>
  <si>
    <t>Outras despesas e receitas operacionais não recorrentes, liquidas</t>
  </si>
  <si>
    <t>Receita Financeira não recorrente</t>
  </si>
  <si>
    <t>IRPJ e CCSLL não recorrente</t>
  </si>
  <si>
    <t>Lucro líquido recorrente do período</t>
  </si>
  <si>
    <t>Lucro Líquido não recorrente</t>
  </si>
  <si>
    <t>Reconciliação para o EBITDA recorrente:</t>
  </si>
  <si>
    <t>EBITDA recorrente</t>
  </si>
  <si>
    <t>Lucro Líquido recorrente</t>
  </si>
  <si>
    <t>EBITDA recorrente (Pro-forma)</t>
  </si>
  <si>
    <t>Dívida líquida / EBITDA recorrente</t>
  </si>
  <si>
    <t>3T21</t>
  </si>
  <si>
    <t>9M21</t>
  </si>
  <si>
    <t>Plano de opção de compra de ação</t>
  </si>
  <si>
    <t xml:space="preserve">Depósitos judiciais </t>
  </si>
  <si>
    <t>4T21</t>
  </si>
  <si>
    <t>Planilha de Fundamentos - 4T21</t>
  </si>
  <si>
    <t>Receita Líquida de vendas não recorrentes</t>
  </si>
  <si>
    <t>FY21</t>
  </si>
  <si>
    <t>Ingressos com fornecedores conveniados</t>
  </si>
  <si>
    <t>Receita líquida de vendas Ajustada:</t>
  </si>
  <si>
    <t>Lucro Bruto Ajustado:</t>
  </si>
  <si>
    <t>Margem Bruta Ajustada (% Receita líquida Aj.):</t>
  </si>
  <si>
    <t xml:space="preserve">Pagamento de partes relacionadas </t>
  </si>
  <si>
    <t>FY20¹</t>
  </si>
  <si>
    <t>FY21¹</t>
  </si>
  <si>
    <r>
      <rPr>
        <b/>
        <u/>
        <sz val="10"/>
        <color theme="1"/>
        <rFont val="Calibri"/>
        <family val="2"/>
        <scheme val="minor"/>
      </rPr>
      <t xml:space="preserve">Nota (1) </t>
    </r>
    <r>
      <rPr>
        <sz val="10"/>
        <color theme="1"/>
        <rFont val="Calibri"/>
        <family val="2"/>
        <scheme val="minor"/>
      </rPr>
      <t>No 4T21, as operações relativas a convênios firmados com bancos parceiros para estruturar com os seus principais fornecedores a operação de antecipação de seus recebíveis passaram a ser incluídas como atividade de financiamento. Para melhor comparabilidade dos resultados, as Demonstrações do Fluxo de Caixa das Demonstrações Financeiras de 2020 foram reapresentados sob a mesma metodologia.
As Demonstrações do Fluxo de Caixa anteriores a 2020 não são, portanto, comparáveis às demonstrações acima.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</si>
</sst>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&quot;x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Verdana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33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52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lightDown"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0" borderId="0" xfId="0" applyFill="1"/>
    <xf numFmtId="0" fontId="1" fillId="0" borderId="0" xfId="0" applyFont="1"/>
    <xf numFmtId="0" fontId="2" fillId="3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6" borderId="0" xfId="0" applyFont="1" applyFill="1" applyBorder="1"/>
    <xf numFmtId="3" fontId="3" fillId="6" borderId="0" xfId="0" applyNumberFormat="1" applyFon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6" borderId="0" xfId="0" applyFont="1" applyFill="1"/>
    <xf numFmtId="3" fontId="3" fillId="6" borderId="0" xfId="0" applyNumberFormat="1" applyFont="1" applyFill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6" borderId="0" xfId="0" applyNumberFormat="1" applyFont="1" applyFill="1" applyBorder="1"/>
    <xf numFmtId="164" fontId="5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6" borderId="1" xfId="0" applyFont="1" applyFill="1" applyBorder="1"/>
    <xf numFmtId="3" fontId="3" fillId="6" borderId="1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6" fillId="4" borderId="0" xfId="0" applyFont="1" applyFill="1"/>
    <xf numFmtId="3" fontId="6" fillId="4" borderId="0" xfId="0" applyNumberFormat="1" applyFont="1" applyFill="1"/>
    <xf numFmtId="3" fontId="4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0" fontId="7" fillId="0" borderId="0" xfId="1" applyAlignment="1">
      <alignment horizontal="right"/>
    </xf>
    <xf numFmtId="0" fontId="0" fillId="5" borderId="0" xfId="0" applyFill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8" fillId="5" borderId="0" xfId="0" applyFont="1" applyFill="1" applyBorder="1"/>
    <xf numFmtId="0" fontId="0" fillId="5" borderId="0" xfId="0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3" fontId="3" fillId="6" borderId="0" xfId="0" applyNumberFormat="1" applyFont="1" applyFill="1"/>
    <xf numFmtId="4" fontId="3" fillId="0" borderId="0" xfId="0" applyNumberFormat="1" applyFont="1"/>
    <xf numFmtId="3" fontId="0" fillId="6" borderId="1" xfId="0" applyNumberFormat="1" applyFill="1" applyBorder="1"/>
    <xf numFmtId="165" fontId="3" fillId="6" borderId="0" xfId="0" applyNumberFormat="1" applyFont="1" applyFill="1"/>
    <xf numFmtId="3" fontId="3" fillId="7" borderId="0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" fontId="3" fillId="7" borderId="0" xfId="0" applyNumberFormat="1" applyFont="1" applyFill="1" applyAlignment="1">
      <alignment horizontal="right"/>
    </xf>
    <xf numFmtId="3" fontId="3" fillId="7" borderId="0" xfId="0" applyNumberFormat="1" applyFont="1" applyFill="1" applyBorder="1"/>
    <xf numFmtId="3" fontId="3" fillId="7" borderId="1" xfId="0" applyNumberFormat="1" applyFont="1" applyFill="1" applyBorder="1"/>
    <xf numFmtId="0" fontId="10" fillId="0" borderId="0" xfId="0" applyFont="1"/>
    <xf numFmtId="0" fontId="6" fillId="2" borderId="0" xfId="0" applyFont="1" applyFill="1"/>
    <xf numFmtId="0" fontId="6" fillId="2" borderId="0" xfId="0" applyFont="1" applyFill="1" applyAlignment="1"/>
    <xf numFmtId="0" fontId="6" fillId="3" borderId="0" xfId="0" applyFont="1" applyFill="1" applyAlignment="1">
      <alignment horizontal="right"/>
    </xf>
    <xf numFmtId="0" fontId="9" fillId="6" borderId="0" xfId="0" applyFont="1" applyFill="1" applyBorder="1"/>
    <xf numFmtId="0" fontId="9" fillId="6" borderId="1" xfId="0" applyFont="1" applyFill="1" applyBorder="1"/>
    <xf numFmtId="0" fontId="5" fillId="0" borderId="0" xfId="0" applyFont="1" applyAlignment="1"/>
    <xf numFmtId="9" fontId="4" fillId="0" borderId="0" xfId="0" applyNumberFormat="1" applyFont="1"/>
    <xf numFmtId="0" fontId="2" fillId="3" borderId="0" xfId="0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Border="1"/>
    <xf numFmtId="165" fontId="3" fillId="6" borderId="1" xfId="0" applyNumberFormat="1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wrapText="1"/>
    </xf>
    <xf numFmtId="0" fontId="2" fillId="2" borderId="0" xfId="0" applyFont="1" applyFill="1" applyAlignment="1"/>
    <xf numFmtId="3" fontId="0" fillId="0" borderId="0" xfId="0" applyNumberFormat="1"/>
    <xf numFmtId="3" fontId="1" fillId="0" borderId="0" xfId="0" applyNumberFormat="1" applyFont="1"/>
    <xf numFmtId="3" fontId="4" fillId="6" borderId="0" xfId="0" applyNumberFormat="1" applyFont="1" applyFill="1"/>
    <xf numFmtId="9" fontId="3" fillId="6" borderId="0" xfId="0" applyNumberFormat="1" applyFont="1" applyFill="1"/>
    <xf numFmtId="9" fontId="3" fillId="6" borderId="1" xfId="0" applyNumberFormat="1" applyFont="1" applyFill="1" applyBorder="1"/>
    <xf numFmtId="165" fontId="4" fillId="0" borderId="0" xfId="0" applyNumberFormat="1" applyFont="1" applyFill="1"/>
    <xf numFmtId="164" fontId="3" fillId="6" borderId="0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3" fillId="6" borderId="0" xfId="0" applyNumberFormat="1" applyFont="1" applyFill="1" applyBorder="1"/>
    <xf numFmtId="164" fontId="3" fillId="6" borderId="1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/>
    <xf numFmtId="166" fontId="4" fillId="0" borderId="0" xfId="0" applyNumberFormat="1" applyFont="1"/>
    <xf numFmtId="9" fontId="3" fillId="8" borderId="0" xfId="0" applyNumberFormat="1" applyFont="1" applyFill="1"/>
    <xf numFmtId="3" fontId="3" fillId="0" borderId="0" xfId="0" applyNumberFormat="1" applyFont="1" applyBorder="1"/>
    <xf numFmtId="0" fontId="0" fillId="0" borderId="1" xfId="0" applyBorder="1"/>
    <xf numFmtId="165" fontId="3" fillId="0" borderId="0" xfId="2" applyNumberFormat="1" applyFont="1"/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wrapText="1"/>
    </xf>
  </cellXfs>
  <cellStyles count="3">
    <cellStyle name="Hiperlink" xfId="1" builtinId="8"/>
    <cellStyle name="Normal" xfId="0" builtinId="0"/>
    <cellStyle name="Porcentagem" xfId="2" builtinId="5"/>
  </cellStyles>
  <dxfs count="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00528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7" Type="http://schemas.openxmlformats.org/officeDocument/2006/relationships/hyperlink" Target="#'Fluxo de Caixa'!A1"/><Relationship Id="rId2" Type="http://schemas.openxmlformats.org/officeDocument/2006/relationships/hyperlink" Target="#Balan&#231;o!A1"/><Relationship Id="rId1" Type="http://schemas.openxmlformats.org/officeDocument/2006/relationships/image" Target="../media/image1.png"/><Relationship Id="rId6" Type="http://schemas.openxmlformats.org/officeDocument/2006/relationships/hyperlink" Target="#'Canais de venda'!A1"/><Relationship Id="rId5" Type="http://schemas.openxmlformats.org/officeDocument/2006/relationships/hyperlink" Target="#'Indicadores Operacionais'!A1"/><Relationship Id="rId4" Type="http://schemas.openxmlformats.org/officeDocument/2006/relationships/hyperlink" Target="#Endividamen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57312</xdr:colOff>
      <xdr:row>1</xdr:row>
      <xdr:rowOff>23304</xdr:rowOff>
    </xdr:from>
    <xdr:to>
      <xdr:col>21</xdr:col>
      <xdr:colOff>361839</xdr:colOff>
      <xdr:row>6</xdr:row>
      <xdr:rowOff>19832</xdr:rowOff>
    </xdr:to>
    <xdr:pic>
      <xdr:nvPicPr>
        <xdr:cNvPr id="4" name="Imagem 3" descr="Uma imagem contendo desenho&#10;&#10;Descrição gerada automaticamente">
          <a:extLst>
            <a:ext uri="{FF2B5EF4-FFF2-40B4-BE49-F238E27FC236}">
              <a16:creationId xmlns:a16="http://schemas.microsoft.com/office/drawing/2014/main" id="{719FF782-5A41-46D2-9DE2-83A6469A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9430" y="202598"/>
          <a:ext cx="2119880" cy="926616"/>
        </a:xfrm>
        <a:prstGeom prst="rect">
          <a:avLst/>
        </a:prstGeom>
      </xdr:spPr>
    </xdr:pic>
    <xdr:clientData/>
  </xdr:twoCellAnchor>
  <xdr:twoCellAnchor>
    <xdr:from>
      <xdr:col>3</xdr:col>
      <xdr:colOff>26895</xdr:colOff>
      <xdr:row>5</xdr:row>
      <xdr:rowOff>177052</xdr:rowOff>
    </xdr:from>
    <xdr:to>
      <xdr:col>6</xdr:col>
      <xdr:colOff>405159</xdr:colOff>
      <xdr:row>10</xdr:row>
      <xdr:rowOff>30140</xdr:rowOff>
    </xdr:to>
    <xdr:sp macro="" textlink="">
      <xdr:nvSpPr>
        <xdr:cNvPr id="2" name="Retângul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A1C3E0-5D4B-48FD-A68D-6D1BA036404E}"/>
            </a:ext>
          </a:extLst>
        </xdr:cNvPr>
        <xdr:cNvSpPr/>
      </xdr:nvSpPr>
      <xdr:spPr>
        <a:xfrm>
          <a:off x="1808630" y="1129552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BR" sz="1600">
              <a:latin typeface="+mn-lt"/>
            </a:rPr>
            <a:t>Balanço</a:t>
          </a:r>
          <a:r>
            <a:rPr lang="pt-BR" sz="1600" baseline="0">
              <a:latin typeface="+mn-lt"/>
            </a:rPr>
            <a:t> Patrimonial</a:t>
          </a:r>
          <a:endParaRPr lang="pt-BR" sz="1600">
            <a:latin typeface="+mn-lt"/>
          </a:endParaRPr>
        </a:p>
      </xdr:txBody>
    </xdr:sp>
    <xdr:clientData/>
  </xdr:twoCellAnchor>
  <xdr:twoCellAnchor>
    <xdr:from>
      <xdr:col>7</xdr:col>
      <xdr:colOff>80684</xdr:colOff>
      <xdr:row>5</xdr:row>
      <xdr:rowOff>177052</xdr:rowOff>
    </xdr:from>
    <xdr:to>
      <xdr:col>10</xdr:col>
      <xdr:colOff>458948</xdr:colOff>
      <xdr:row>10</xdr:row>
      <xdr:rowOff>30140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5CCC9A-C4C5-464D-8FE7-33BDE46FA9F0}"/>
            </a:ext>
          </a:extLst>
        </xdr:cNvPr>
        <xdr:cNvSpPr/>
      </xdr:nvSpPr>
      <xdr:spPr>
        <a:xfrm>
          <a:off x="4238066" y="1129552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pt-BR" sz="1600">
              <a:latin typeface="+mn-lt"/>
            </a:rPr>
            <a:t>Demonstração</a:t>
          </a:r>
          <a:r>
            <a:rPr lang="pt-BR" sz="1600" baseline="0">
              <a:latin typeface="+mn-lt"/>
            </a:rPr>
            <a:t> do Resultado</a:t>
          </a:r>
          <a:endParaRPr lang="pt-BR" sz="1600">
            <a:latin typeface="+mn-lt"/>
          </a:endParaRPr>
        </a:p>
      </xdr:txBody>
    </xdr:sp>
    <xdr:clientData/>
  </xdr:twoCellAnchor>
  <xdr:twoCellAnchor>
    <xdr:from>
      <xdr:col>3</xdr:col>
      <xdr:colOff>11206</xdr:colOff>
      <xdr:row>13</xdr:row>
      <xdr:rowOff>87404</xdr:rowOff>
    </xdr:from>
    <xdr:to>
      <xdr:col>6</xdr:col>
      <xdr:colOff>389470</xdr:colOff>
      <xdr:row>17</xdr:row>
      <xdr:rowOff>142198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9CFA4A-A9CD-410C-80DC-73330653AEED}"/>
            </a:ext>
          </a:extLst>
        </xdr:cNvPr>
        <xdr:cNvSpPr/>
      </xdr:nvSpPr>
      <xdr:spPr>
        <a:xfrm>
          <a:off x="1792941" y="2586316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pt-BR" sz="1600">
              <a:latin typeface="+mn-lt"/>
            </a:rPr>
            <a:t>Endividamento</a:t>
          </a:r>
        </a:p>
      </xdr:txBody>
    </xdr:sp>
    <xdr:clientData/>
  </xdr:twoCellAnchor>
  <xdr:twoCellAnchor>
    <xdr:from>
      <xdr:col>7</xdr:col>
      <xdr:colOff>71719</xdr:colOff>
      <xdr:row>13</xdr:row>
      <xdr:rowOff>98609</xdr:rowOff>
    </xdr:from>
    <xdr:to>
      <xdr:col>10</xdr:col>
      <xdr:colOff>449983</xdr:colOff>
      <xdr:row>17</xdr:row>
      <xdr:rowOff>153403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A09444-8FED-47D5-830A-C7B0F78DFBD0}"/>
            </a:ext>
          </a:extLst>
        </xdr:cNvPr>
        <xdr:cNvSpPr/>
      </xdr:nvSpPr>
      <xdr:spPr>
        <a:xfrm>
          <a:off x="4229101" y="2597521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pt-BR" sz="1600">
              <a:latin typeface="+mn-lt"/>
            </a:rPr>
            <a:t>Indicadores Operacionais</a:t>
          </a:r>
        </a:p>
      </xdr:txBody>
    </xdr:sp>
    <xdr:clientData/>
  </xdr:twoCellAnchor>
  <xdr:twoCellAnchor>
    <xdr:from>
      <xdr:col>11</xdr:col>
      <xdr:colOff>100854</xdr:colOff>
      <xdr:row>13</xdr:row>
      <xdr:rowOff>138951</xdr:rowOff>
    </xdr:from>
    <xdr:to>
      <xdr:col>14</xdr:col>
      <xdr:colOff>479118</xdr:colOff>
      <xdr:row>17</xdr:row>
      <xdr:rowOff>193745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398BCED-81F6-4C1F-AF29-663C1F97695A}"/>
            </a:ext>
          </a:extLst>
        </xdr:cNvPr>
        <xdr:cNvSpPr/>
      </xdr:nvSpPr>
      <xdr:spPr>
        <a:xfrm>
          <a:off x="6633883" y="2637863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pt-BR" sz="1600">
              <a:latin typeface="+mn-lt"/>
            </a:rPr>
            <a:t>Canais</a:t>
          </a:r>
          <a:r>
            <a:rPr lang="pt-BR" sz="1600" baseline="0">
              <a:latin typeface="+mn-lt"/>
            </a:rPr>
            <a:t> de venda</a:t>
          </a:r>
          <a:endParaRPr lang="pt-BR" sz="1600">
            <a:latin typeface="+mn-lt"/>
          </a:endParaRPr>
        </a:p>
      </xdr:txBody>
    </xdr:sp>
    <xdr:clientData/>
  </xdr:twoCellAnchor>
  <xdr:twoCellAnchor>
    <xdr:from>
      <xdr:col>11</xdr:col>
      <xdr:colOff>100854</xdr:colOff>
      <xdr:row>5</xdr:row>
      <xdr:rowOff>194982</xdr:rowOff>
    </xdr:from>
    <xdr:to>
      <xdr:col>14</xdr:col>
      <xdr:colOff>479118</xdr:colOff>
      <xdr:row>10</xdr:row>
      <xdr:rowOff>48070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10D9597-BDCD-4C25-9F97-6E9189926430}"/>
            </a:ext>
          </a:extLst>
        </xdr:cNvPr>
        <xdr:cNvSpPr/>
      </xdr:nvSpPr>
      <xdr:spPr>
        <a:xfrm>
          <a:off x="6633883" y="1147482"/>
          <a:ext cx="2160000" cy="828000"/>
        </a:xfrm>
        <a:prstGeom prst="rect">
          <a:avLst/>
        </a:prstGeom>
        <a:solidFill>
          <a:srgbClr val="FF6600"/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pt-BR" sz="1600">
              <a:latin typeface="+mn-lt"/>
            </a:rPr>
            <a:t>Fluxo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</xdr:colOff>
      <xdr:row>0</xdr:row>
      <xdr:rowOff>0</xdr:rowOff>
    </xdr:from>
    <xdr:to>
      <xdr:col>1</xdr:col>
      <xdr:colOff>30145</xdr:colOff>
      <xdr:row>3</xdr:row>
      <xdr:rowOff>73064</xdr:rowOff>
    </xdr:to>
    <xdr:pic>
      <xdr:nvPicPr>
        <xdr:cNvPr id="3" name="Imagem 2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39B9F-120F-48F5-9AF7-FB0E1860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0"/>
          <a:ext cx="612851" cy="610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8965</xdr:rowOff>
    </xdr:from>
    <xdr:to>
      <xdr:col>1</xdr:col>
      <xdr:colOff>3251</xdr:colOff>
      <xdr:row>3</xdr:row>
      <xdr:rowOff>95364</xdr:rowOff>
    </xdr:to>
    <xdr:pic>
      <xdr:nvPicPr>
        <xdr:cNvPr id="2" name="Imagem 1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BAA4F9-AEE8-45F0-B653-E75AB887D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5"/>
          <a:ext cx="612851" cy="6109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8965</xdr:rowOff>
    </xdr:from>
    <xdr:to>
      <xdr:col>1</xdr:col>
      <xdr:colOff>3251</xdr:colOff>
      <xdr:row>3</xdr:row>
      <xdr:rowOff>95364</xdr:rowOff>
    </xdr:to>
    <xdr:pic>
      <xdr:nvPicPr>
        <xdr:cNvPr id="2" name="Imagem 1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9B97F-516F-4D62-BA3F-B13ADFE3E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5"/>
          <a:ext cx="612851" cy="644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8965</xdr:rowOff>
    </xdr:from>
    <xdr:to>
      <xdr:col>1</xdr:col>
      <xdr:colOff>3251</xdr:colOff>
      <xdr:row>3</xdr:row>
      <xdr:rowOff>83934</xdr:rowOff>
    </xdr:to>
    <xdr:pic>
      <xdr:nvPicPr>
        <xdr:cNvPr id="2" name="Imagem 1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67E3F-6360-4C7F-A493-14345CEC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5"/>
          <a:ext cx="612851" cy="6217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</xdr:colOff>
      <xdr:row>0</xdr:row>
      <xdr:rowOff>0</xdr:rowOff>
    </xdr:from>
    <xdr:to>
      <xdr:col>1</xdr:col>
      <xdr:colOff>30145</xdr:colOff>
      <xdr:row>3</xdr:row>
      <xdr:rowOff>73064</xdr:rowOff>
    </xdr:to>
    <xdr:pic>
      <xdr:nvPicPr>
        <xdr:cNvPr id="2" name="Imagem 1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A1FFB-E199-4D85-BAC0-F51C08C3A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0"/>
          <a:ext cx="612851" cy="644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8965</xdr:rowOff>
    </xdr:from>
    <xdr:to>
      <xdr:col>1</xdr:col>
      <xdr:colOff>3251</xdr:colOff>
      <xdr:row>3</xdr:row>
      <xdr:rowOff>95364</xdr:rowOff>
    </xdr:to>
    <xdr:pic>
      <xdr:nvPicPr>
        <xdr:cNvPr id="2" name="Imagem 1" descr="Uma imagem contendo desenho, placar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541DB-F33C-4E43-B14E-BE7B332B3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65"/>
          <a:ext cx="612851" cy="644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RELA&#199;&#213;ES%20COM%20INVESTIDORES/Privado/2_Release%20de%20resultados/2_2021/2T21/Quadros%20do%20release_2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Planilha1 (2)"/>
      <sheetName val="Tabelas para RA"/>
      <sheetName val="Planilha3"/>
      <sheetName val="BD"/>
      <sheetName val="Breakdown por BU"/>
      <sheetName val="BP_2T21"/>
      <sheetName val="DRE_2T21_pos ICMS"/>
      <sheetName val="DRE_2T21"/>
      <sheetName val="KPI_2T21"/>
      <sheetName val="BP_1T21"/>
      <sheetName val="DRE_1T21"/>
      <sheetName val="KPI_1T21"/>
      <sheetName val="BP_4T20"/>
      <sheetName val="DRE_4T20"/>
      <sheetName val="KPIs_4T20"/>
      <sheetName val="Fluxo e Caixa"/>
      <sheetName val="IFRS16-2020 e 2019"/>
      <sheetName val="KPI"/>
    </sheetNames>
    <sheetDataSet>
      <sheetData sheetId="0"/>
      <sheetData sheetId="1"/>
      <sheetData sheetId="2"/>
      <sheetData sheetId="3"/>
      <sheetData sheetId="4">
        <row r="81">
          <cell r="B81" t="str">
            <v>Lucro antes do IR/CSLL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H24"/>
  <sheetViews>
    <sheetView tabSelected="1" zoomScale="85" zoomScaleNormal="85" workbookViewId="0">
      <selection activeCell="D3" sqref="D3:O4"/>
    </sheetView>
  </sheetViews>
  <sheetFormatPr defaultColWidth="8.88671875" defaultRowHeight="14.4" x14ac:dyDescent="0.3"/>
  <cols>
    <col min="1" max="34" width="8.88671875" style="3"/>
    <col min="35" max="16384" width="8.88671875" style="31"/>
  </cols>
  <sheetData>
    <row r="3" spans="4:23" x14ac:dyDescent="0.3">
      <c r="D3" s="93" t="s">
        <v>188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4:23" ht="15" thickBot="1" x14ac:dyDescent="0.35"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4:23" ht="15" thickTop="1" x14ac:dyDescent="0.3"/>
    <row r="6" spans="4:23" ht="15" thickBot="1" x14ac:dyDescent="0.35"/>
    <row r="7" spans="4:23" ht="15" thickTop="1" x14ac:dyDescent="0.3">
      <c r="R7" s="32"/>
      <c r="S7" s="33"/>
      <c r="T7" s="33"/>
      <c r="U7" s="33"/>
      <c r="V7" s="33"/>
      <c r="W7" s="34"/>
    </row>
    <row r="8" spans="4:23" x14ac:dyDescent="0.3">
      <c r="R8" s="35"/>
      <c r="S8" s="36"/>
      <c r="T8" s="36"/>
      <c r="U8" s="36"/>
      <c r="V8" s="36"/>
      <c r="W8" s="37"/>
    </row>
    <row r="9" spans="4:23" x14ac:dyDescent="0.3">
      <c r="R9" s="35"/>
      <c r="S9" s="38" t="s">
        <v>63</v>
      </c>
      <c r="T9" s="36"/>
      <c r="U9" s="36"/>
      <c r="V9" s="36"/>
      <c r="W9" s="37"/>
    </row>
    <row r="10" spans="4:23" x14ac:dyDescent="0.3">
      <c r="R10" s="35"/>
      <c r="S10" s="39"/>
      <c r="T10" s="36"/>
      <c r="U10" s="36"/>
      <c r="V10" s="36"/>
      <c r="W10" s="37"/>
    </row>
    <row r="11" spans="4:23" x14ac:dyDescent="0.3">
      <c r="R11" s="35"/>
      <c r="S11" s="36" t="s">
        <v>64</v>
      </c>
      <c r="T11" s="36"/>
      <c r="U11" s="36"/>
      <c r="V11" s="36"/>
      <c r="W11" s="37"/>
    </row>
    <row r="12" spans="4:23" x14ac:dyDescent="0.3">
      <c r="R12" s="35"/>
      <c r="S12" s="36" t="s">
        <v>65</v>
      </c>
      <c r="T12" s="36"/>
      <c r="U12" s="36"/>
      <c r="V12" s="36"/>
      <c r="W12" s="37"/>
    </row>
    <row r="13" spans="4:23" x14ac:dyDescent="0.3">
      <c r="R13" s="35"/>
      <c r="S13" s="36" t="s">
        <v>165</v>
      </c>
      <c r="T13" s="36"/>
      <c r="U13" s="36"/>
      <c r="V13" s="36"/>
      <c r="W13" s="37"/>
    </row>
    <row r="14" spans="4:23" x14ac:dyDescent="0.3">
      <c r="R14" s="35"/>
      <c r="T14" s="36"/>
      <c r="U14" s="36"/>
      <c r="V14" s="36"/>
      <c r="W14" s="37"/>
    </row>
    <row r="15" spans="4:23" x14ac:dyDescent="0.3">
      <c r="R15" s="35"/>
      <c r="S15" s="36" t="s">
        <v>66</v>
      </c>
      <c r="T15" s="36"/>
      <c r="U15" s="36"/>
      <c r="V15" s="36"/>
      <c r="W15" s="37"/>
    </row>
    <row r="16" spans="4:23" x14ac:dyDescent="0.3">
      <c r="R16" s="35"/>
      <c r="S16" s="36" t="s">
        <v>67</v>
      </c>
      <c r="T16" s="36"/>
      <c r="U16" s="36"/>
      <c r="V16" s="36"/>
      <c r="W16" s="37"/>
    </row>
    <row r="17" spans="18:23" ht="15" thickBot="1" x14ac:dyDescent="0.35">
      <c r="R17" s="40"/>
      <c r="S17" s="41"/>
      <c r="T17" s="41"/>
      <c r="U17" s="41"/>
      <c r="V17" s="41"/>
      <c r="W17" s="42"/>
    </row>
    <row r="18" spans="18:23" ht="15" thickTop="1" x14ac:dyDescent="0.3">
      <c r="R18" s="31"/>
      <c r="S18" s="31"/>
      <c r="T18" s="31"/>
      <c r="U18" s="31"/>
      <c r="V18" s="31"/>
      <c r="W18" s="31"/>
    </row>
    <row r="19" spans="18:23" x14ac:dyDescent="0.3">
      <c r="R19" s="31"/>
      <c r="S19" s="31"/>
      <c r="T19" s="31"/>
      <c r="U19" s="31"/>
      <c r="V19" s="31"/>
      <c r="W19" s="31"/>
    </row>
    <row r="20" spans="18:23" x14ac:dyDescent="0.3">
      <c r="R20" s="31"/>
      <c r="S20" s="31"/>
      <c r="T20" s="31"/>
      <c r="U20" s="31"/>
      <c r="V20" s="31"/>
      <c r="W20" s="31"/>
    </row>
    <row r="21" spans="18:23" x14ac:dyDescent="0.3">
      <c r="R21" s="31"/>
      <c r="S21" s="31"/>
      <c r="T21" s="31"/>
      <c r="U21" s="31"/>
      <c r="V21" s="31"/>
      <c r="W21" s="31"/>
    </row>
    <row r="22" spans="18:23" x14ac:dyDescent="0.3">
      <c r="R22" s="31"/>
      <c r="S22" s="31"/>
      <c r="T22" s="31"/>
      <c r="U22" s="31"/>
      <c r="V22" s="31"/>
      <c r="W22" s="31"/>
    </row>
    <row r="23" spans="18:23" x14ac:dyDescent="0.3">
      <c r="R23" s="31"/>
      <c r="S23" s="31"/>
      <c r="T23" s="31"/>
      <c r="U23" s="31"/>
      <c r="V23" s="31"/>
      <c r="W23" s="31"/>
    </row>
    <row r="24" spans="18:23" x14ac:dyDescent="0.3">
      <c r="R24" s="31"/>
      <c r="S24" s="31"/>
      <c r="T24" s="31"/>
      <c r="U24" s="31"/>
      <c r="V24" s="31"/>
      <c r="W24" s="31"/>
    </row>
  </sheetData>
  <mergeCells count="1">
    <mergeCell ref="D3:O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8"/>
  <sheetViews>
    <sheetView showGridLines="0" zoomScale="85" zoomScaleNormal="85" workbookViewId="0">
      <pane xSplit="4" ySplit="3" topLeftCell="O43" activePane="bottomRight" state="frozen"/>
      <selection activeCell="G17" sqref="G17"/>
      <selection pane="topRight" activeCell="G17" sqref="G17"/>
      <selection pane="bottomLeft" activeCell="G17" sqref="G17"/>
      <selection pane="bottomRight" activeCell="Q57" sqref="Q57"/>
    </sheetView>
  </sheetViews>
  <sheetFormatPr defaultRowHeight="14.4" x14ac:dyDescent="0.3"/>
  <cols>
    <col min="3" max="3" width="41.109375" style="7" bestFit="1" customWidth="1"/>
    <col min="4" max="4" width="8.88671875" style="7"/>
    <col min="5" max="7" width="19.109375" style="7" customWidth="1"/>
    <col min="8" max="11" width="14.5546875" style="7" customWidth="1"/>
    <col min="12" max="16" width="14.33203125" style="7" customWidth="1"/>
    <col min="17" max="21" width="8.88671875" style="7"/>
  </cols>
  <sheetData>
    <row r="1" spans="3:21" x14ac:dyDescent="0.3">
      <c r="E1" s="95" t="s">
        <v>76</v>
      </c>
      <c r="F1" s="95"/>
      <c r="G1" s="95"/>
      <c r="M1" s="30"/>
      <c r="P1" s="30" t="s">
        <v>62</v>
      </c>
    </row>
    <row r="2" spans="3:21" x14ac:dyDescent="0.3">
      <c r="C2" s="1" t="s">
        <v>61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21" x14ac:dyDescent="0.3">
      <c r="C3" s="6"/>
      <c r="D3" s="6"/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152</v>
      </c>
      <c r="N3" s="6" t="s">
        <v>160</v>
      </c>
      <c r="O3" s="6" t="s">
        <v>183</v>
      </c>
      <c r="P3" s="6" t="s">
        <v>187</v>
      </c>
    </row>
    <row r="4" spans="3:21" x14ac:dyDescent="0.3">
      <c r="E4" s="8"/>
      <c r="F4" s="8"/>
      <c r="G4" s="8"/>
      <c r="H4" s="8"/>
      <c r="I4" s="8"/>
      <c r="J4" s="8"/>
      <c r="K4" s="8"/>
      <c r="L4" s="8"/>
    </row>
    <row r="5" spans="3:21" x14ac:dyDescent="0.3">
      <c r="C5" s="9" t="s">
        <v>10</v>
      </c>
      <c r="D5" s="9"/>
      <c r="E5" s="47"/>
      <c r="F5" s="47"/>
      <c r="G5" s="47"/>
      <c r="H5" s="10">
        <v>292268</v>
      </c>
      <c r="I5" s="10">
        <v>455222</v>
      </c>
      <c r="J5" s="10">
        <v>651529</v>
      </c>
      <c r="K5" s="10">
        <v>315042</v>
      </c>
      <c r="L5" s="10">
        <v>382314</v>
      </c>
      <c r="M5" s="10">
        <v>276568</v>
      </c>
      <c r="N5" s="10">
        <v>172248</v>
      </c>
      <c r="O5" s="10">
        <v>461119</v>
      </c>
      <c r="P5" s="10">
        <v>733966</v>
      </c>
    </row>
    <row r="6" spans="3:21" x14ac:dyDescent="0.3">
      <c r="C6" s="9" t="s">
        <v>9</v>
      </c>
      <c r="D6" s="9"/>
      <c r="E6" s="47"/>
      <c r="F6" s="47"/>
      <c r="G6" s="47"/>
      <c r="H6" s="10">
        <v>2000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</row>
    <row r="7" spans="3:21" x14ac:dyDescent="0.3">
      <c r="C7" s="9" t="s">
        <v>11</v>
      </c>
      <c r="D7" s="9"/>
      <c r="E7" s="47"/>
      <c r="F7" s="47"/>
      <c r="G7" s="47"/>
      <c r="H7" s="10">
        <v>1238376</v>
      </c>
      <c r="I7" s="10">
        <v>788964</v>
      </c>
      <c r="J7" s="10">
        <v>878213</v>
      </c>
      <c r="K7" s="10">
        <v>1235923</v>
      </c>
      <c r="L7" s="10">
        <v>1401512</v>
      </c>
      <c r="M7" s="10">
        <v>1095565</v>
      </c>
      <c r="N7" s="10">
        <v>1591943</v>
      </c>
      <c r="O7" s="10">
        <v>1521068</v>
      </c>
      <c r="P7" s="10">
        <v>1412059</v>
      </c>
    </row>
    <row r="8" spans="3:21" x14ac:dyDescent="0.3">
      <c r="C8" s="9" t="s">
        <v>12</v>
      </c>
      <c r="D8" s="9"/>
      <c r="E8" s="47"/>
      <c r="F8" s="47"/>
      <c r="G8" s="47"/>
      <c r="H8" s="10">
        <v>421842</v>
      </c>
      <c r="I8" s="10">
        <v>522383</v>
      </c>
      <c r="J8" s="10">
        <v>494278</v>
      </c>
      <c r="K8" s="10">
        <v>773719</v>
      </c>
      <c r="L8" s="10">
        <v>615258</v>
      </c>
      <c r="M8" s="10">
        <v>952045</v>
      </c>
      <c r="N8" s="10">
        <v>743432</v>
      </c>
      <c r="O8" s="10">
        <v>713365</v>
      </c>
      <c r="P8" s="10">
        <v>852762</v>
      </c>
    </row>
    <row r="9" spans="3:21" x14ac:dyDescent="0.3">
      <c r="C9" s="9" t="s">
        <v>13</v>
      </c>
      <c r="D9" s="9"/>
      <c r="E9" s="47"/>
      <c r="F9" s="47"/>
      <c r="G9" s="47"/>
      <c r="H9" s="10">
        <v>238956</v>
      </c>
      <c r="I9" s="10">
        <v>262286</v>
      </c>
      <c r="J9" s="10">
        <v>237011</v>
      </c>
      <c r="K9" s="10">
        <v>248442</v>
      </c>
      <c r="L9" s="10">
        <v>239590</v>
      </c>
      <c r="M9" s="10">
        <v>258319</v>
      </c>
      <c r="N9" s="10">
        <v>201937</v>
      </c>
      <c r="O9" s="10">
        <v>198951</v>
      </c>
      <c r="P9" s="10">
        <v>199587</v>
      </c>
    </row>
    <row r="10" spans="3:21" x14ac:dyDescent="0.3">
      <c r="C10" s="9" t="s">
        <v>14</v>
      </c>
      <c r="D10" s="9"/>
      <c r="E10" s="47"/>
      <c r="F10" s="47"/>
      <c r="G10" s="47"/>
      <c r="H10" s="10">
        <v>2597</v>
      </c>
      <c r="I10" s="10">
        <v>2008</v>
      </c>
      <c r="J10" s="10">
        <v>11611</v>
      </c>
      <c r="K10" s="10">
        <v>8098</v>
      </c>
      <c r="L10" s="10">
        <v>3212</v>
      </c>
      <c r="M10" s="10">
        <v>31</v>
      </c>
      <c r="N10" s="10">
        <v>799</v>
      </c>
      <c r="O10" s="10">
        <v>810.38915999999881</v>
      </c>
      <c r="P10" s="10">
        <v>422</v>
      </c>
    </row>
    <row r="11" spans="3:21" ht="15" thickBot="1" x14ac:dyDescent="0.35">
      <c r="C11" s="22" t="s">
        <v>15</v>
      </c>
      <c r="D11" s="22"/>
      <c r="E11" s="48"/>
      <c r="F11" s="48"/>
      <c r="G11" s="48"/>
      <c r="H11" s="23">
        <v>58993</v>
      </c>
      <c r="I11" s="23">
        <v>93809</v>
      </c>
      <c r="J11" s="23">
        <v>98203</v>
      </c>
      <c r="K11" s="23">
        <v>112371</v>
      </c>
      <c r="L11" s="23">
        <v>82470</v>
      </c>
      <c r="M11" s="23">
        <v>175297</v>
      </c>
      <c r="N11" s="23">
        <v>107322</v>
      </c>
      <c r="O11" s="23">
        <v>113184</v>
      </c>
      <c r="P11" s="23">
        <v>141792</v>
      </c>
    </row>
    <row r="12" spans="3:21" s="5" customFormat="1" ht="15" thickTop="1" x14ac:dyDescent="0.3">
      <c r="C12" s="11" t="s">
        <v>21</v>
      </c>
      <c r="D12" s="11"/>
      <c r="E12" s="12">
        <f t="shared" ref="E12:K12" si="0">SUM(E5:E11)</f>
        <v>0</v>
      </c>
      <c r="F12" s="12">
        <f t="shared" si="0"/>
        <v>0</v>
      </c>
      <c r="G12" s="12">
        <f t="shared" si="0"/>
        <v>0</v>
      </c>
      <c r="H12" s="12">
        <f t="shared" si="0"/>
        <v>2255032</v>
      </c>
      <c r="I12" s="12">
        <f t="shared" si="0"/>
        <v>2124672</v>
      </c>
      <c r="J12" s="12">
        <f t="shared" si="0"/>
        <v>2370845</v>
      </c>
      <c r="K12" s="12">
        <f t="shared" si="0"/>
        <v>2693595</v>
      </c>
      <c r="L12" s="12">
        <f>SUM(L5:L11)</f>
        <v>2724356</v>
      </c>
      <c r="M12" s="12">
        <f>SUM(M5:M11)</f>
        <v>2757825</v>
      </c>
      <c r="N12" s="12">
        <f>SUM(N5:N11)</f>
        <v>2817681</v>
      </c>
      <c r="O12" s="12">
        <f>SUM(O5:O11)</f>
        <v>3008497.3891599998</v>
      </c>
      <c r="P12" s="12">
        <f>SUM(P5:P11)</f>
        <v>3340588</v>
      </c>
      <c r="Q12" s="11"/>
      <c r="R12" s="11"/>
      <c r="S12" s="11"/>
      <c r="T12" s="11"/>
      <c r="U12" s="11"/>
    </row>
    <row r="13" spans="3:21" x14ac:dyDescent="0.3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3:21" x14ac:dyDescent="0.3">
      <c r="C14" s="9" t="s">
        <v>11</v>
      </c>
      <c r="D14" s="9"/>
      <c r="E14" s="47"/>
      <c r="F14" s="47"/>
      <c r="G14" s="47"/>
      <c r="H14" s="10">
        <v>39912</v>
      </c>
      <c r="I14" s="10">
        <v>36486</v>
      </c>
      <c r="J14" s="10">
        <v>31428</v>
      </c>
      <c r="K14" s="10">
        <v>32833</v>
      </c>
      <c r="L14" s="10">
        <v>40279</v>
      </c>
      <c r="M14" s="10">
        <v>23323</v>
      </c>
      <c r="N14" s="10">
        <v>23273</v>
      </c>
      <c r="O14" s="10">
        <v>23698</v>
      </c>
      <c r="P14" s="10">
        <v>23999</v>
      </c>
    </row>
    <row r="15" spans="3:21" x14ac:dyDescent="0.3">
      <c r="C15" s="9" t="s">
        <v>103</v>
      </c>
      <c r="D15" s="9"/>
      <c r="E15" s="47"/>
      <c r="F15" s="47"/>
      <c r="G15" s="47"/>
      <c r="H15" s="10">
        <v>0</v>
      </c>
      <c r="I15" s="10">
        <v>0</v>
      </c>
      <c r="J15" s="10">
        <v>0</v>
      </c>
      <c r="K15" s="10">
        <v>0</v>
      </c>
      <c r="L15" s="10">
        <v>26707</v>
      </c>
      <c r="M15" s="10">
        <v>33663</v>
      </c>
      <c r="N15" s="10">
        <v>38478</v>
      </c>
      <c r="O15" s="10">
        <v>31516</v>
      </c>
      <c r="P15" s="10">
        <v>34065</v>
      </c>
    </row>
    <row r="16" spans="3:21" x14ac:dyDescent="0.3">
      <c r="C16" s="9" t="s">
        <v>13</v>
      </c>
      <c r="D16" s="9"/>
      <c r="E16" s="47"/>
      <c r="F16" s="47"/>
      <c r="G16" s="47"/>
      <c r="H16" s="10"/>
      <c r="I16" s="10"/>
      <c r="J16" s="10"/>
      <c r="K16" s="10"/>
      <c r="L16" s="10"/>
      <c r="M16" s="10"/>
      <c r="N16" s="10">
        <v>128473</v>
      </c>
      <c r="O16" s="10">
        <v>128473</v>
      </c>
      <c r="P16" s="10">
        <v>143018</v>
      </c>
    </row>
    <row r="17" spans="2:21" x14ac:dyDescent="0.3">
      <c r="C17" s="9" t="s">
        <v>186</v>
      </c>
      <c r="D17" s="9"/>
      <c r="E17" s="47"/>
      <c r="F17" s="47"/>
      <c r="G17" s="47"/>
      <c r="H17" s="10"/>
      <c r="I17" s="10"/>
      <c r="J17" s="10"/>
      <c r="K17" s="10"/>
      <c r="L17" s="10"/>
      <c r="M17" s="10"/>
      <c r="N17" s="10"/>
      <c r="O17" s="10">
        <v>29621</v>
      </c>
      <c r="P17" s="10">
        <v>0</v>
      </c>
    </row>
    <row r="18" spans="2:21" x14ac:dyDescent="0.3">
      <c r="C18" s="9" t="s">
        <v>16</v>
      </c>
      <c r="D18" s="9"/>
      <c r="E18" s="47"/>
      <c r="F18" s="47"/>
      <c r="G18" s="47"/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62323</v>
      </c>
    </row>
    <row r="19" spans="2:21" x14ac:dyDescent="0.3">
      <c r="C19" s="9" t="s">
        <v>17</v>
      </c>
      <c r="D19" s="9"/>
      <c r="E19" s="47"/>
      <c r="F19" s="47"/>
      <c r="G19" s="47"/>
      <c r="H19" s="10">
        <v>111554</v>
      </c>
      <c r="I19" s="10">
        <v>113978</v>
      </c>
      <c r="J19" s="10">
        <v>117225</v>
      </c>
      <c r="K19" s="10">
        <v>116531</v>
      </c>
      <c r="L19" s="10">
        <v>117645</v>
      </c>
      <c r="M19" s="10">
        <v>116594</v>
      </c>
      <c r="N19" s="10">
        <v>127046</v>
      </c>
      <c r="O19" s="10">
        <v>128233</v>
      </c>
      <c r="P19" s="10">
        <v>133597</v>
      </c>
    </row>
    <row r="20" spans="2:21" x14ac:dyDescent="0.3">
      <c r="C20" s="9" t="s">
        <v>18</v>
      </c>
      <c r="D20" s="9"/>
      <c r="E20" s="47"/>
      <c r="F20" s="47"/>
      <c r="G20" s="47"/>
      <c r="H20" s="10">
        <v>24047</v>
      </c>
      <c r="I20" s="10">
        <v>25663</v>
      </c>
      <c r="J20" s="10">
        <v>26089</v>
      </c>
      <c r="K20" s="10">
        <v>31186</v>
      </c>
      <c r="L20" s="10">
        <v>33828</v>
      </c>
      <c r="M20" s="10">
        <v>33830</v>
      </c>
      <c r="N20" s="10">
        <v>33036</v>
      </c>
      <c r="O20" s="10">
        <v>34029</v>
      </c>
      <c r="P20" s="10">
        <v>33627</v>
      </c>
    </row>
    <row r="21" spans="2:21" x14ac:dyDescent="0.3">
      <c r="C21" s="9" t="s">
        <v>19</v>
      </c>
      <c r="D21" s="9"/>
      <c r="E21" s="47"/>
      <c r="F21" s="47"/>
      <c r="G21" s="47"/>
      <c r="H21" s="10">
        <v>748371</v>
      </c>
      <c r="I21" s="10">
        <v>755331</v>
      </c>
      <c r="J21" s="10">
        <v>762539</v>
      </c>
      <c r="K21" s="10">
        <v>758992</v>
      </c>
      <c r="L21" s="10">
        <v>754129</v>
      </c>
      <c r="M21" s="10">
        <v>758859</v>
      </c>
      <c r="N21" s="10">
        <v>753610</v>
      </c>
      <c r="O21" s="10">
        <v>747888</v>
      </c>
      <c r="P21" s="10">
        <v>740916</v>
      </c>
    </row>
    <row r="22" spans="2:21" ht="15" thickBot="1" x14ac:dyDescent="0.35">
      <c r="C22" s="22" t="s">
        <v>15</v>
      </c>
      <c r="D22" s="22"/>
      <c r="E22" s="48"/>
      <c r="F22" s="48"/>
      <c r="G22" s="48"/>
      <c r="H22" s="23"/>
      <c r="I22" s="23"/>
      <c r="J22" s="23"/>
      <c r="K22" s="23"/>
      <c r="L22" s="23">
        <v>19040</v>
      </c>
      <c r="M22" s="23">
        <v>22673</v>
      </c>
      <c r="N22" s="23">
        <v>24940</v>
      </c>
      <c r="O22" s="23">
        <v>18516</v>
      </c>
      <c r="P22" s="23">
        <v>16829</v>
      </c>
    </row>
    <row r="23" spans="2:21" s="5" customFormat="1" ht="15" thickTop="1" x14ac:dyDescent="0.3">
      <c r="C23" s="11" t="s">
        <v>20</v>
      </c>
      <c r="D23" s="11"/>
      <c r="E23" s="12">
        <f>SUM(E14:E22)</f>
        <v>0</v>
      </c>
      <c r="F23" s="12">
        <f t="shared" ref="F23:L23" si="1">SUM(F14:F22)</f>
        <v>0</v>
      </c>
      <c r="G23" s="12">
        <f t="shared" si="1"/>
        <v>0</v>
      </c>
      <c r="H23" s="12">
        <f t="shared" si="1"/>
        <v>923884</v>
      </c>
      <c r="I23" s="12">
        <f t="shared" si="1"/>
        <v>931458</v>
      </c>
      <c r="J23" s="12">
        <f t="shared" si="1"/>
        <v>937281</v>
      </c>
      <c r="K23" s="12">
        <f t="shared" si="1"/>
        <v>939542</v>
      </c>
      <c r="L23" s="12">
        <f t="shared" si="1"/>
        <v>991628</v>
      </c>
      <c r="M23" s="12">
        <f t="shared" ref="M23" si="2">SUM(M14:M22)</f>
        <v>988942</v>
      </c>
      <c r="N23" s="12">
        <f>SUM(N14:N22)</f>
        <v>1128856</v>
      </c>
      <c r="O23" s="12">
        <f t="shared" ref="O23:P23" si="3">SUM(O14:O22)</f>
        <v>1141974</v>
      </c>
      <c r="P23" s="12">
        <f t="shared" si="3"/>
        <v>1188374</v>
      </c>
      <c r="Q23" s="11"/>
      <c r="R23" s="11"/>
      <c r="S23" s="11"/>
      <c r="T23" s="11"/>
      <c r="U23" s="11"/>
    </row>
    <row r="24" spans="2:21" ht="15" thickBot="1" x14ac:dyDescent="0.35"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21" s="5" customFormat="1" ht="15" thickTop="1" x14ac:dyDescent="0.3">
      <c r="B25"/>
      <c r="C25" s="25" t="s">
        <v>22</v>
      </c>
      <c r="D25" s="25"/>
      <c r="E25" s="26">
        <f t="shared" ref="E25:K25" si="4">E23+E12</f>
        <v>0</v>
      </c>
      <c r="F25" s="26">
        <f t="shared" si="4"/>
        <v>0</v>
      </c>
      <c r="G25" s="26">
        <f t="shared" si="4"/>
        <v>0</v>
      </c>
      <c r="H25" s="26">
        <f t="shared" si="4"/>
        <v>3178916</v>
      </c>
      <c r="I25" s="26">
        <f t="shared" ref="I25" si="5">I23+I12</f>
        <v>3056130</v>
      </c>
      <c r="J25" s="26">
        <f t="shared" si="4"/>
        <v>3308126</v>
      </c>
      <c r="K25" s="26">
        <f t="shared" si="4"/>
        <v>3633137</v>
      </c>
      <c r="L25" s="26">
        <f>L23+L12</f>
        <v>3715984</v>
      </c>
      <c r="M25" s="26">
        <f>M23+M12</f>
        <v>3746767</v>
      </c>
      <c r="N25" s="26">
        <f>N23+N12</f>
        <v>3946537</v>
      </c>
      <c r="O25" s="26">
        <f>O23+O12</f>
        <v>4150471.3891599998</v>
      </c>
      <c r="P25" s="26">
        <f>P23+P12</f>
        <v>4528962</v>
      </c>
      <c r="Q25" s="11"/>
      <c r="R25" s="11"/>
      <c r="S25" s="11"/>
      <c r="T25" s="11"/>
      <c r="U25" s="11"/>
    </row>
    <row r="26" spans="2:21" x14ac:dyDescent="0.3">
      <c r="E26" s="8"/>
      <c r="F26" s="8"/>
      <c r="G26" s="8"/>
      <c r="H26" s="8"/>
      <c r="I26" s="8"/>
      <c r="J26" s="8"/>
      <c r="K26" s="8"/>
      <c r="L26" s="8"/>
    </row>
    <row r="27" spans="2:21" x14ac:dyDescent="0.3">
      <c r="C27" s="14" t="s">
        <v>23</v>
      </c>
      <c r="D27" s="14"/>
      <c r="E27" s="49"/>
      <c r="F27" s="49"/>
      <c r="G27" s="49"/>
      <c r="H27" s="15">
        <v>1346033</v>
      </c>
      <c r="I27" s="15">
        <v>1221810</v>
      </c>
      <c r="J27" s="15">
        <v>1544389</v>
      </c>
      <c r="K27" s="15">
        <v>1776696</v>
      </c>
      <c r="L27" s="15">
        <v>1760829</v>
      </c>
      <c r="M27" s="15">
        <v>1791400</v>
      </c>
      <c r="N27" s="15">
        <v>1624495</v>
      </c>
      <c r="O27" s="15">
        <v>1764388</v>
      </c>
      <c r="P27" s="15">
        <v>2064182</v>
      </c>
    </row>
    <row r="28" spans="2:21" x14ac:dyDescent="0.3">
      <c r="C28" s="14" t="s">
        <v>24</v>
      </c>
      <c r="D28" s="14"/>
      <c r="E28" s="49"/>
      <c r="F28" s="49"/>
      <c r="G28" s="49"/>
      <c r="H28" s="15">
        <v>22000</v>
      </c>
      <c r="I28" s="15">
        <v>30229</v>
      </c>
      <c r="J28" s="15">
        <v>19549</v>
      </c>
      <c r="K28" s="15">
        <v>22020</v>
      </c>
      <c r="L28" s="15">
        <v>22553</v>
      </c>
      <c r="M28" s="15">
        <v>12567</v>
      </c>
      <c r="N28" s="15">
        <v>11470</v>
      </c>
      <c r="O28" s="15">
        <v>34160</v>
      </c>
      <c r="P28" s="15">
        <v>60608</v>
      </c>
    </row>
    <row r="29" spans="2:21" x14ac:dyDescent="0.3">
      <c r="C29" s="14" t="s">
        <v>25</v>
      </c>
      <c r="D29" s="14"/>
      <c r="E29" s="49"/>
      <c r="F29" s="49"/>
      <c r="G29" s="49"/>
      <c r="H29" s="15">
        <v>13474</v>
      </c>
      <c r="I29" s="15">
        <v>14293</v>
      </c>
      <c r="J29" s="15">
        <v>15420</v>
      </c>
      <c r="K29" s="15">
        <v>16257</v>
      </c>
      <c r="L29" s="15">
        <v>17294</v>
      </c>
      <c r="M29" s="15">
        <v>18765</v>
      </c>
      <c r="N29" s="15">
        <v>21225</v>
      </c>
      <c r="O29" s="15">
        <v>22655</v>
      </c>
      <c r="P29" s="15">
        <v>24947</v>
      </c>
    </row>
    <row r="30" spans="2:21" x14ac:dyDescent="0.3">
      <c r="C30" s="14" t="s">
        <v>26</v>
      </c>
      <c r="D30" s="14"/>
      <c r="E30" s="49"/>
      <c r="F30" s="49"/>
      <c r="G30" s="49"/>
      <c r="H30" s="15">
        <v>78218</v>
      </c>
      <c r="I30" s="15">
        <v>97779</v>
      </c>
      <c r="J30" s="15">
        <v>96677</v>
      </c>
      <c r="K30" s="15">
        <v>92192</v>
      </c>
      <c r="L30" s="15">
        <v>98935</v>
      </c>
      <c r="M30" s="15">
        <v>81686</v>
      </c>
      <c r="N30" s="15">
        <v>115782</v>
      </c>
      <c r="O30" s="15">
        <v>115428</v>
      </c>
      <c r="P30" s="15">
        <v>165234</v>
      </c>
    </row>
    <row r="31" spans="2:21" x14ac:dyDescent="0.3">
      <c r="C31" s="14" t="s">
        <v>27</v>
      </c>
      <c r="D31" s="14"/>
      <c r="E31" s="49"/>
      <c r="F31" s="49"/>
      <c r="G31" s="49"/>
      <c r="H31" s="15">
        <v>32416</v>
      </c>
      <c r="I31" s="15">
        <v>18511</v>
      </c>
      <c r="J31" s="15">
        <v>20583</v>
      </c>
      <c r="K31" s="15">
        <v>23906</v>
      </c>
      <c r="L31" s="15">
        <v>34654</v>
      </c>
      <c r="M31" s="15">
        <v>24095</v>
      </c>
      <c r="N31" s="15">
        <v>30373</v>
      </c>
      <c r="O31" s="15">
        <v>33706</v>
      </c>
      <c r="P31" s="15">
        <v>34120</v>
      </c>
    </row>
    <row r="32" spans="2:21" x14ac:dyDescent="0.3">
      <c r="C32" s="14" t="s">
        <v>28</v>
      </c>
      <c r="D32" s="14"/>
      <c r="E32" s="49"/>
      <c r="F32" s="49"/>
      <c r="G32" s="49"/>
      <c r="H32" s="15">
        <v>23341</v>
      </c>
      <c r="I32" s="15">
        <v>20811</v>
      </c>
      <c r="J32" s="15">
        <v>19111</v>
      </c>
      <c r="K32" s="15">
        <v>36104</v>
      </c>
      <c r="L32" s="15">
        <v>21779</v>
      </c>
      <c r="M32" s="15">
        <v>25007</v>
      </c>
      <c r="N32" s="15">
        <v>23822</v>
      </c>
      <c r="O32" s="15">
        <v>22395</v>
      </c>
      <c r="P32" s="15">
        <v>21304</v>
      </c>
    </row>
    <row r="33" spans="3:21" x14ac:dyDescent="0.3">
      <c r="C33" s="14" t="s">
        <v>29</v>
      </c>
      <c r="D33" s="14"/>
      <c r="E33" s="49"/>
      <c r="F33" s="49"/>
      <c r="G33" s="49"/>
      <c r="H33" s="15">
        <v>26311</v>
      </c>
      <c r="I33" s="15">
        <v>30060</v>
      </c>
      <c r="J33" s="15">
        <v>14527</v>
      </c>
      <c r="K33" s="15">
        <v>16410</v>
      </c>
      <c r="L33" s="15">
        <v>26479</v>
      </c>
      <c r="M33" s="15">
        <v>24481</v>
      </c>
      <c r="N33" s="15">
        <v>37704</v>
      </c>
      <c r="O33" s="15">
        <v>44170</v>
      </c>
      <c r="P33" s="15">
        <v>48501</v>
      </c>
    </row>
    <row r="34" spans="3:21" x14ac:dyDescent="0.3">
      <c r="C34" s="14" t="s">
        <v>30</v>
      </c>
      <c r="D34" s="14"/>
      <c r="E34" s="49"/>
      <c r="F34" s="49"/>
      <c r="G34" s="49"/>
      <c r="H34" s="15">
        <v>937</v>
      </c>
      <c r="I34" s="15">
        <v>937</v>
      </c>
      <c r="J34" s="15">
        <v>937</v>
      </c>
      <c r="K34" s="15">
        <v>0</v>
      </c>
      <c r="L34" s="15">
        <v>6705</v>
      </c>
      <c r="M34" s="15">
        <v>0</v>
      </c>
      <c r="N34" s="15">
        <v>0</v>
      </c>
      <c r="O34" s="15">
        <v>1745</v>
      </c>
      <c r="P34" s="15">
        <v>68</v>
      </c>
    </row>
    <row r="35" spans="3:21" x14ac:dyDescent="0.3">
      <c r="C35" s="9" t="s">
        <v>14</v>
      </c>
      <c r="D35" s="9"/>
      <c r="E35" s="50"/>
      <c r="F35" s="50"/>
      <c r="G35" s="50"/>
      <c r="H35" s="18">
        <v>45346</v>
      </c>
      <c r="I35" s="18">
        <v>45978</v>
      </c>
      <c r="J35" s="18">
        <v>20766</v>
      </c>
      <c r="K35" s="18">
        <v>20912</v>
      </c>
      <c r="L35" s="18">
        <v>21047</v>
      </c>
      <c r="M35" s="18">
        <v>21179</v>
      </c>
      <c r="N35" s="10">
        <v>0</v>
      </c>
      <c r="O35" s="10">
        <v>0</v>
      </c>
      <c r="P35" s="10">
        <v>0</v>
      </c>
    </row>
    <row r="36" spans="3:21" ht="15" thickBot="1" x14ac:dyDescent="0.35">
      <c r="C36" s="22" t="s">
        <v>31</v>
      </c>
      <c r="D36" s="22"/>
      <c r="E36" s="51"/>
      <c r="F36" s="51"/>
      <c r="G36" s="51"/>
      <c r="H36" s="24">
        <v>38746</v>
      </c>
      <c r="I36" s="24">
        <v>41109</v>
      </c>
      <c r="J36" s="24">
        <v>40834</v>
      </c>
      <c r="K36" s="24">
        <v>27695</v>
      </c>
      <c r="L36" s="24">
        <v>11537</v>
      </c>
      <c r="M36" s="24">
        <v>17651</v>
      </c>
      <c r="N36" s="24">
        <v>15475</v>
      </c>
      <c r="O36" s="24">
        <v>14173.389159999999</v>
      </c>
      <c r="P36" s="24">
        <v>11029</v>
      </c>
    </row>
    <row r="37" spans="3:21" s="5" customFormat="1" ht="15" thickTop="1" x14ac:dyDescent="0.3">
      <c r="C37" s="11" t="s">
        <v>32</v>
      </c>
      <c r="D37" s="11"/>
      <c r="E37" s="12">
        <f t="shared" ref="E37:K37" si="6">SUM(E27:E36)</f>
        <v>0</v>
      </c>
      <c r="F37" s="12">
        <f t="shared" si="6"/>
        <v>0</v>
      </c>
      <c r="G37" s="12">
        <f t="shared" si="6"/>
        <v>0</v>
      </c>
      <c r="H37" s="12">
        <f t="shared" si="6"/>
        <v>1626822</v>
      </c>
      <c r="I37" s="12">
        <f t="shared" si="6"/>
        <v>1521517</v>
      </c>
      <c r="J37" s="12">
        <f t="shared" si="6"/>
        <v>1792793</v>
      </c>
      <c r="K37" s="12">
        <f t="shared" si="6"/>
        <v>2032192</v>
      </c>
      <c r="L37" s="12">
        <f>SUM(L27:L36)</f>
        <v>2021812</v>
      </c>
      <c r="M37" s="12">
        <f>SUM(M27:M36)</f>
        <v>2016831</v>
      </c>
      <c r="N37" s="12">
        <f>SUM(N27:N36)</f>
        <v>1880346</v>
      </c>
      <c r="O37" s="12">
        <f>SUM(O27:O36)</f>
        <v>2052820.38916</v>
      </c>
      <c r="P37" s="12">
        <f>SUM(P27:P36)</f>
        <v>2429993</v>
      </c>
      <c r="Q37" s="11"/>
      <c r="R37" s="11"/>
      <c r="S37" s="11"/>
      <c r="T37" s="11"/>
      <c r="U37" s="11"/>
    </row>
    <row r="39" spans="3:21" x14ac:dyDescent="0.3">
      <c r="C39" s="14" t="s">
        <v>23</v>
      </c>
      <c r="D39" s="14"/>
      <c r="E39" s="49"/>
      <c r="F39" s="49"/>
      <c r="G39" s="49"/>
      <c r="H39" s="15">
        <v>1000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</row>
    <row r="40" spans="3:21" x14ac:dyDescent="0.3">
      <c r="C40" s="14" t="s">
        <v>24</v>
      </c>
      <c r="D40" s="14"/>
      <c r="E40" s="49"/>
      <c r="F40" s="49"/>
      <c r="G40" s="49"/>
      <c r="H40" s="15">
        <v>0</v>
      </c>
      <c r="I40" s="15">
        <v>0</v>
      </c>
      <c r="J40" s="15">
        <v>0</v>
      </c>
      <c r="K40" s="15">
        <v>0</v>
      </c>
      <c r="L40" s="15">
        <v>47288</v>
      </c>
      <c r="M40" s="15">
        <v>59754</v>
      </c>
      <c r="N40" s="15">
        <v>68278</v>
      </c>
      <c r="O40" s="15">
        <v>54201</v>
      </c>
      <c r="P40" s="15">
        <v>58860</v>
      </c>
    </row>
    <row r="41" spans="3:21" x14ac:dyDescent="0.3">
      <c r="C41" s="14" t="s">
        <v>25</v>
      </c>
      <c r="D41" s="14"/>
      <c r="E41" s="49"/>
      <c r="F41" s="49"/>
      <c r="G41" s="49"/>
      <c r="H41" s="15">
        <v>102300</v>
      </c>
      <c r="I41" s="15">
        <v>105293</v>
      </c>
      <c r="J41" s="15">
        <v>108875</v>
      </c>
      <c r="K41" s="15">
        <v>108829</v>
      </c>
      <c r="L41" s="15">
        <v>108481</v>
      </c>
      <c r="M41" s="15">
        <v>107340</v>
      </c>
      <c r="N41" s="15">
        <v>116768</v>
      </c>
      <c r="O41" s="15">
        <v>117988</v>
      </c>
      <c r="P41" s="15">
        <v>120054</v>
      </c>
    </row>
    <row r="42" spans="3:21" x14ac:dyDescent="0.3">
      <c r="C42" s="14" t="s">
        <v>26</v>
      </c>
      <c r="D42" s="14"/>
      <c r="E42" s="49"/>
      <c r="F42" s="49"/>
      <c r="G42" s="49"/>
      <c r="H42" s="15">
        <v>424029</v>
      </c>
      <c r="I42" s="15">
        <v>402515</v>
      </c>
      <c r="J42" s="15">
        <v>383346</v>
      </c>
      <c r="K42" s="15">
        <v>363888</v>
      </c>
      <c r="L42" s="15">
        <v>344431</v>
      </c>
      <c r="M42" s="15">
        <v>344793</v>
      </c>
      <c r="N42" s="15">
        <v>288235</v>
      </c>
      <c r="O42" s="15">
        <v>288590</v>
      </c>
      <c r="P42" s="15">
        <v>230607</v>
      </c>
    </row>
    <row r="43" spans="3:21" x14ac:dyDescent="0.3">
      <c r="C43" s="14" t="s">
        <v>33</v>
      </c>
      <c r="D43" s="14"/>
      <c r="E43" s="49"/>
      <c r="F43" s="49"/>
      <c r="G43" s="49"/>
      <c r="H43" s="15">
        <v>4274</v>
      </c>
      <c r="I43" s="15">
        <v>4326</v>
      </c>
      <c r="J43" s="15">
        <v>4310</v>
      </c>
      <c r="K43" s="15">
        <v>4497</v>
      </c>
      <c r="L43" s="15">
        <v>3043</v>
      </c>
      <c r="M43" s="15">
        <v>4031</v>
      </c>
      <c r="N43" s="15">
        <v>5247</v>
      </c>
      <c r="O43" s="15">
        <v>5797</v>
      </c>
      <c r="P43" s="15">
        <v>98067</v>
      </c>
    </row>
    <row r="44" spans="3:21" x14ac:dyDescent="0.3">
      <c r="C44" s="14" t="s">
        <v>28</v>
      </c>
      <c r="D44" s="14"/>
      <c r="E44" s="49"/>
      <c r="F44" s="49"/>
      <c r="G44" s="49"/>
      <c r="H44" s="15">
        <v>2233</v>
      </c>
      <c r="I44" s="15">
        <v>2802</v>
      </c>
      <c r="J44" s="15">
        <v>2802</v>
      </c>
      <c r="K44" s="15">
        <v>2130</v>
      </c>
      <c r="L44" s="15">
        <v>2008</v>
      </c>
      <c r="M44" s="15">
        <v>1917</v>
      </c>
      <c r="N44" s="15">
        <v>1810</v>
      </c>
      <c r="O44" s="15">
        <v>1707</v>
      </c>
      <c r="P44" s="15">
        <v>1606</v>
      </c>
    </row>
    <row r="45" spans="3:21" x14ac:dyDescent="0.3">
      <c r="C45" s="9" t="s">
        <v>34</v>
      </c>
      <c r="D45" s="9"/>
      <c r="E45" s="47"/>
      <c r="F45" s="47"/>
      <c r="G45" s="47"/>
      <c r="H45" s="10">
        <v>19259</v>
      </c>
      <c r="I45" s="10">
        <v>12487</v>
      </c>
      <c r="J45" s="10">
        <v>6384</v>
      </c>
      <c r="K45" s="10">
        <v>24582</v>
      </c>
      <c r="L45" s="10">
        <v>48092</v>
      </c>
      <c r="M45" s="10">
        <v>57473</v>
      </c>
      <c r="N45" s="10">
        <v>105628</v>
      </c>
      <c r="O45" s="10">
        <v>100464</v>
      </c>
      <c r="P45" s="10">
        <v>71474</v>
      </c>
    </row>
    <row r="46" spans="3:21" ht="15" thickBot="1" x14ac:dyDescent="0.35">
      <c r="C46" s="22" t="s">
        <v>31</v>
      </c>
      <c r="D46" s="22"/>
      <c r="E46" s="51"/>
      <c r="F46" s="51"/>
      <c r="G46" s="51"/>
      <c r="H46" s="24">
        <v>28876</v>
      </c>
      <c r="I46" s="24">
        <v>30666</v>
      </c>
      <c r="J46" s="24">
        <v>30769</v>
      </c>
      <c r="K46" s="24">
        <v>28777</v>
      </c>
      <c r="L46" s="24">
        <v>10242</v>
      </c>
      <c r="M46" s="24">
        <v>5266</v>
      </c>
      <c r="N46" s="24">
        <v>5266</v>
      </c>
      <c r="O46" s="24">
        <v>5266</v>
      </c>
      <c r="P46" s="24">
        <v>6584</v>
      </c>
    </row>
    <row r="47" spans="3:21" s="5" customFormat="1" ht="15" thickTop="1" x14ac:dyDescent="0.3">
      <c r="C47" s="11" t="s">
        <v>151</v>
      </c>
      <c r="D47" s="11"/>
      <c r="E47" s="12">
        <f t="shared" ref="E47:L47" si="7">SUM(E39:E46)</f>
        <v>0</v>
      </c>
      <c r="F47" s="12">
        <f t="shared" si="7"/>
        <v>0</v>
      </c>
      <c r="G47" s="12">
        <f t="shared" si="7"/>
        <v>0</v>
      </c>
      <c r="H47" s="12">
        <f t="shared" si="7"/>
        <v>581971</v>
      </c>
      <c r="I47" s="12">
        <f t="shared" si="7"/>
        <v>558089</v>
      </c>
      <c r="J47" s="12">
        <f t="shared" si="7"/>
        <v>536486</v>
      </c>
      <c r="K47" s="12">
        <f t="shared" si="7"/>
        <v>532703</v>
      </c>
      <c r="L47" s="12">
        <f t="shared" si="7"/>
        <v>563585</v>
      </c>
      <c r="M47" s="12">
        <f t="shared" ref="M47" si="8">SUM(M39:M46)</f>
        <v>580574</v>
      </c>
      <c r="N47" s="12">
        <f>SUM(N39:N46)</f>
        <v>591232</v>
      </c>
      <c r="O47" s="12">
        <f t="shared" ref="O47:P47" si="9">SUM(O39:O46)</f>
        <v>574013</v>
      </c>
      <c r="P47" s="12">
        <f t="shared" si="9"/>
        <v>587252</v>
      </c>
      <c r="Q47" s="11"/>
      <c r="R47" s="11"/>
      <c r="S47" s="11"/>
      <c r="T47" s="11"/>
      <c r="U47" s="11"/>
    </row>
    <row r="49" spans="3:21" x14ac:dyDescent="0.3">
      <c r="C49" s="14" t="s">
        <v>35</v>
      </c>
      <c r="D49" s="14"/>
      <c r="E49" s="49"/>
      <c r="F49" s="49"/>
      <c r="G49" s="49"/>
      <c r="H49" s="15">
        <v>772741</v>
      </c>
      <c r="I49" s="15">
        <v>772741</v>
      </c>
      <c r="J49" s="15">
        <v>772741</v>
      </c>
      <c r="K49" s="15">
        <v>786418</v>
      </c>
      <c r="L49" s="15">
        <v>786418</v>
      </c>
      <c r="M49" s="15">
        <v>795281</v>
      </c>
      <c r="N49" s="15">
        <v>998101</v>
      </c>
      <c r="O49" s="15">
        <v>1021384</v>
      </c>
      <c r="P49" s="15">
        <v>1021575</v>
      </c>
    </row>
    <row r="50" spans="3:21" x14ac:dyDescent="0.3">
      <c r="C50" s="14" t="s">
        <v>163</v>
      </c>
      <c r="D50" s="14"/>
      <c r="E50" s="49"/>
      <c r="F50" s="49"/>
      <c r="G50" s="49"/>
      <c r="H50" s="15"/>
      <c r="I50" s="15"/>
      <c r="J50" s="15"/>
      <c r="K50" s="15"/>
      <c r="L50" s="15"/>
      <c r="M50" s="15"/>
      <c r="N50" s="15">
        <v>-29695</v>
      </c>
      <c r="O50" s="15">
        <v>-30053.701000000001</v>
      </c>
      <c r="P50" s="15">
        <v>-30054</v>
      </c>
    </row>
    <row r="51" spans="3:21" x14ac:dyDescent="0.3">
      <c r="C51" s="9" t="s">
        <v>36</v>
      </c>
      <c r="D51" s="9"/>
      <c r="E51" s="50"/>
      <c r="F51" s="50"/>
      <c r="G51" s="50"/>
      <c r="H51" s="18">
        <v>25678</v>
      </c>
      <c r="I51" s="18">
        <v>22821</v>
      </c>
      <c r="J51" s="18">
        <v>16770</v>
      </c>
      <c r="K51" s="18">
        <v>15443</v>
      </c>
      <c r="L51" s="18">
        <v>11525</v>
      </c>
      <c r="M51" s="18">
        <v>11363</v>
      </c>
      <c r="N51" s="18">
        <v>11502</v>
      </c>
      <c r="O51" s="18">
        <v>11987.7</v>
      </c>
      <c r="P51" s="18">
        <v>6483</v>
      </c>
    </row>
    <row r="52" spans="3:21" x14ac:dyDescent="0.3">
      <c r="C52" s="9" t="s">
        <v>37</v>
      </c>
      <c r="D52" s="9"/>
      <c r="E52" s="50"/>
      <c r="F52" s="50"/>
      <c r="G52" s="50"/>
      <c r="H52" s="18">
        <v>171704</v>
      </c>
      <c r="I52" s="18">
        <v>180962</v>
      </c>
      <c r="J52" s="18">
        <v>189336</v>
      </c>
      <c r="K52" s="18">
        <v>266381</v>
      </c>
      <c r="L52" s="18">
        <v>332644</v>
      </c>
      <c r="M52" s="18">
        <v>342718</v>
      </c>
      <c r="N52" s="18">
        <v>373001</v>
      </c>
      <c r="O52" s="18">
        <v>370709.06836999999</v>
      </c>
      <c r="P52" s="18">
        <v>513652</v>
      </c>
    </row>
    <row r="53" spans="3:21" x14ac:dyDescent="0.3">
      <c r="C53" s="9" t="s">
        <v>161</v>
      </c>
      <c r="D53" s="9"/>
      <c r="E53" s="50"/>
      <c r="F53" s="50"/>
      <c r="G53" s="50"/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-3</v>
      </c>
      <c r="O53" s="18">
        <v>36.142000000000003</v>
      </c>
      <c r="P53" s="18">
        <v>61</v>
      </c>
    </row>
    <row r="54" spans="3:21" ht="15" thickBot="1" x14ac:dyDescent="0.35">
      <c r="C54" s="22" t="s">
        <v>164</v>
      </c>
      <c r="D54" s="22"/>
      <c r="E54" s="51"/>
      <c r="F54" s="51"/>
      <c r="G54" s="51"/>
      <c r="H54" s="24"/>
      <c r="I54" s="24"/>
      <c r="J54" s="24"/>
      <c r="K54" s="24"/>
      <c r="L54" s="24"/>
      <c r="M54" s="24"/>
      <c r="N54" s="24">
        <v>122053</v>
      </c>
      <c r="O54" s="24">
        <v>149574.82199999999</v>
      </c>
      <c r="P54" s="24">
        <v>0</v>
      </c>
    </row>
    <row r="55" spans="3:21" s="5" customFormat="1" ht="15" thickTop="1" x14ac:dyDescent="0.3">
      <c r="C55" s="11" t="s">
        <v>150</v>
      </c>
      <c r="D55" s="11"/>
      <c r="E55" s="12">
        <f t="shared" ref="E55:L55" si="10">SUM(E49:E53)</f>
        <v>0</v>
      </c>
      <c r="F55" s="12">
        <f t="shared" si="10"/>
        <v>0</v>
      </c>
      <c r="G55" s="12">
        <f t="shared" si="10"/>
        <v>0</v>
      </c>
      <c r="H55" s="12">
        <f t="shared" si="10"/>
        <v>970123</v>
      </c>
      <c r="I55" s="12">
        <f t="shared" si="10"/>
        <v>976524</v>
      </c>
      <c r="J55" s="12">
        <f t="shared" si="10"/>
        <v>978847</v>
      </c>
      <c r="K55" s="12">
        <f t="shared" si="10"/>
        <v>1068242</v>
      </c>
      <c r="L55" s="12">
        <f t="shared" si="10"/>
        <v>1130587</v>
      </c>
      <c r="M55" s="12">
        <f t="shared" ref="M55" si="11">SUM(M49:M53)</f>
        <v>1149362</v>
      </c>
      <c r="N55" s="12">
        <f>SUM(N49:N54)</f>
        <v>1474959</v>
      </c>
      <c r="O55" s="12">
        <f>SUM(O49:O54)</f>
        <v>1523638.0313699997</v>
      </c>
      <c r="P55" s="12">
        <f>SUM(P49:P54)</f>
        <v>1511717</v>
      </c>
      <c r="Q55" s="11"/>
      <c r="R55" s="11"/>
      <c r="S55" s="11"/>
      <c r="T55" s="11"/>
      <c r="U55" s="11"/>
    </row>
    <row r="56" spans="3:21" ht="15" thickBot="1" x14ac:dyDescent="0.3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3:21" s="5" customFormat="1" ht="15" thickTop="1" x14ac:dyDescent="0.3">
      <c r="C57" s="25" t="s">
        <v>38</v>
      </c>
      <c r="D57" s="25"/>
      <c r="E57" s="26">
        <f t="shared" ref="E57:K57" si="12">E55+E47+E37</f>
        <v>0</v>
      </c>
      <c r="F57" s="26">
        <f t="shared" si="12"/>
        <v>0</v>
      </c>
      <c r="G57" s="26">
        <f t="shared" si="12"/>
        <v>0</v>
      </c>
      <c r="H57" s="26">
        <f t="shared" si="12"/>
        <v>3178916</v>
      </c>
      <c r="I57" s="26">
        <f t="shared" si="12"/>
        <v>3056130</v>
      </c>
      <c r="J57" s="26">
        <f t="shared" si="12"/>
        <v>3308126</v>
      </c>
      <c r="K57" s="26">
        <f t="shared" si="12"/>
        <v>3633137</v>
      </c>
      <c r="L57" s="26">
        <f>L55+L47+L37</f>
        <v>3715984</v>
      </c>
      <c r="M57" s="26">
        <f>M55+M47+M37</f>
        <v>3746767</v>
      </c>
      <c r="N57" s="26">
        <f>N55+N47+N37</f>
        <v>3946537</v>
      </c>
      <c r="O57" s="26">
        <f>O55+O47+O37</f>
        <v>4150471.4205299998</v>
      </c>
      <c r="P57" s="26">
        <f>P55+P47+P37</f>
        <v>4528962</v>
      </c>
      <c r="Q57" s="11"/>
      <c r="R57" s="11"/>
      <c r="S57" s="11"/>
      <c r="T57" s="11"/>
      <c r="U57" s="11"/>
    </row>
    <row r="58" spans="3:21" x14ac:dyDescent="0.3">
      <c r="C58" s="7" t="s">
        <v>39</v>
      </c>
      <c r="E58" s="19">
        <f t="shared" ref="E58:G58" si="13">ROUND(E57-E25,2)</f>
        <v>0</v>
      </c>
      <c r="F58" s="19">
        <f t="shared" si="13"/>
        <v>0</v>
      </c>
      <c r="G58" s="19">
        <f t="shared" si="13"/>
        <v>0</v>
      </c>
      <c r="H58" s="19">
        <f>ROUND(H57-H25,2)</f>
        <v>0</v>
      </c>
      <c r="I58" s="19">
        <f t="shared" ref="I58:N58" si="14">ROUND(I57-I25,2)</f>
        <v>0</v>
      </c>
      <c r="J58" s="19">
        <f t="shared" si="14"/>
        <v>0</v>
      </c>
      <c r="K58" s="19">
        <f t="shared" si="14"/>
        <v>0</v>
      </c>
      <c r="L58" s="19">
        <f t="shared" si="14"/>
        <v>0</v>
      </c>
      <c r="M58" s="19">
        <f t="shared" si="14"/>
        <v>0</v>
      </c>
      <c r="N58" s="19">
        <f t="shared" si="14"/>
        <v>0</v>
      </c>
      <c r="O58" s="19">
        <f>ROUND(O57-O25,1)</f>
        <v>0</v>
      </c>
      <c r="P58" s="19">
        <f>ROUND(P57-P25,2)</f>
        <v>0</v>
      </c>
    </row>
  </sheetData>
  <mergeCells count="1">
    <mergeCell ref="E1:G1"/>
  </mergeCells>
  <conditionalFormatting sqref="E58:L58">
    <cfRule type="cellIs" dxfId="2" priority="6" operator="equal">
      <formula>0</formula>
    </cfRule>
  </conditionalFormatting>
  <conditionalFormatting sqref="M58:N58">
    <cfRule type="cellIs" dxfId="1" priority="5" operator="equal">
      <formula>0</formula>
    </cfRule>
  </conditionalFormatting>
  <conditionalFormatting sqref="O58:P58">
    <cfRule type="cellIs" dxfId="0" priority="1" operator="equal">
      <formula>0</formula>
    </cfRule>
  </conditionalFormatting>
  <hyperlinks>
    <hyperlink ref="P1" location="Indice!A1" display="Voltar" xr:uid="{21AFF88A-0795-401E-B7C3-9B1A49C0E53F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5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17359-4DAA-4EC2-A754-6914A01F40A4}">
  <dimension ref="C1:AC46"/>
  <sheetViews>
    <sheetView showGridLines="0" zoomScale="85" zoomScaleNormal="85" workbookViewId="0">
      <pane xSplit="4" ySplit="3" topLeftCell="N29" activePane="bottomRight" state="frozen"/>
      <selection activeCell="G17" sqref="G17"/>
      <selection pane="topRight" activeCell="G17" sqref="G17"/>
      <selection pane="bottomLeft" activeCell="G17" sqref="G17"/>
      <selection pane="bottomRight"/>
    </sheetView>
  </sheetViews>
  <sheetFormatPr defaultRowHeight="14.4" x14ac:dyDescent="0.3"/>
  <cols>
    <col min="3" max="3" width="41.109375" style="7" bestFit="1" customWidth="1"/>
    <col min="4" max="4" width="8.88671875" style="7"/>
    <col min="5" max="7" width="9" style="7" bestFit="1" customWidth="1"/>
    <col min="8" max="8" width="9.6640625" style="7" customWidth="1"/>
    <col min="9" max="10" width="9" style="7" bestFit="1" customWidth="1"/>
    <col min="11" max="11" width="9.44140625" style="7" bestFit="1" customWidth="1"/>
    <col min="12" max="12" width="12" style="7" bestFit="1" customWidth="1"/>
    <col min="13" max="16" width="8.88671875" style="7" customWidth="1"/>
    <col min="17" max="18" width="8.88671875" style="7"/>
    <col min="19" max="21" width="9.6640625" style="7" bestFit="1" customWidth="1"/>
    <col min="22" max="22" width="8.109375" style="7" bestFit="1" customWidth="1"/>
    <col min="23" max="25" width="9.6640625" bestFit="1" customWidth="1"/>
    <col min="26" max="26" width="9.6640625" customWidth="1"/>
    <col min="27" max="27" width="9.109375" bestFit="1" customWidth="1"/>
    <col min="28" max="29" width="10.77734375" customWidth="1"/>
  </cols>
  <sheetData>
    <row r="1" spans="3:29" x14ac:dyDescent="0.3">
      <c r="M1" s="30"/>
      <c r="P1" s="30" t="s">
        <v>62</v>
      </c>
    </row>
    <row r="2" spans="3:29" x14ac:dyDescent="0.3">
      <c r="C2" s="1" t="s">
        <v>60</v>
      </c>
      <c r="D2" s="1"/>
      <c r="E2" s="96" t="s">
        <v>59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96" t="s">
        <v>58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3:29" x14ac:dyDescent="0.3">
      <c r="C3" s="6"/>
      <c r="D3" s="6"/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152</v>
      </c>
      <c r="N3" s="6" t="s">
        <v>160</v>
      </c>
      <c r="O3" s="6" t="s">
        <v>183</v>
      </c>
      <c r="P3" s="6" t="s">
        <v>187</v>
      </c>
      <c r="R3" s="6" t="s">
        <v>51</v>
      </c>
      <c r="S3" s="6" t="s">
        <v>50</v>
      </c>
      <c r="T3" s="6" t="s">
        <v>52</v>
      </c>
      <c r="U3" s="6" t="s">
        <v>53</v>
      </c>
      <c r="V3" s="6" t="s">
        <v>54</v>
      </c>
      <c r="W3" s="6" t="s">
        <v>55</v>
      </c>
      <c r="X3" s="6" t="s">
        <v>56</v>
      </c>
      <c r="Y3" s="6" t="s">
        <v>57</v>
      </c>
      <c r="Z3" s="6" t="s">
        <v>153</v>
      </c>
      <c r="AA3" s="6" t="s">
        <v>162</v>
      </c>
      <c r="AB3" s="6" t="s">
        <v>184</v>
      </c>
      <c r="AC3" s="6" t="s">
        <v>190</v>
      </c>
    </row>
    <row r="4" spans="3:29" x14ac:dyDescent="0.3">
      <c r="E4" s="8"/>
      <c r="F4" s="8"/>
      <c r="G4" s="8"/>
      <c r="H4" s="8"/>
      <c r="I4" s="8"/>
      <c r="J4" s="8"/>
      <c r="K4" s="8"/>
      <c r="L4" s="8"/>
    </row>
    <row r="5" spans="3:29" x14ac:dyDescent="0.3">
      <c r="C5" s="9" t="s">
        <v>40</v>
      </c>
      <c r="D5" s="9"/>
      <c r="E5" s="10">
        <v>723913</v>
      </c>
      <c r="F5" s="10">
        <v>866866</v>
      </c>
      <c r="G5" s="10">
        <v>939330</v>
      </c>
      <c r="H5" s="10">
        <f>3711271-G5-F5-E5</f>
        <v>1181162</v>
      </c>
      <c r="I5" s="10">
        <v>834818</v>
      </c>
      <c r="J5" s="10">
        <v>830034</v>
      </c>
      <c r="K5" s="10">
        <v>1401319</v>
      </c>
      <c r="L5" s="10">
        <f>4722413-K5-J5-I5</f>
        <v>1656242</v>
      </c>
      <c r="M5" s="10">
        <v>1127438</v>
      </c>
      <c r="N5" s="10">
        <v>1527247</v>
      </c>
      <c r="O5" s="10">
        <v>1426532</v>
      </c>
      <c r="P5" s="10">
        <v>1741239.9632600001</v>
      </c>
      <c r="R5" s="28">
        <f>SUM($E5:E5)</f>
        <v>723913</v>
      </c>
      <c r="S5" s="28">
        <f>SUM($E5:F5)</f>
        <v>1590779</v>
      </c>
      <c r="T5" s="28">
        <f>SUM($E5:G5)</f>
        <v>2530109</v>
      </c>
      <c r="U5" s="28">
        <f>SUM($E5:H5)</f>
        <v>3711271</v>
      </c>
      <c r="V5" s="28">
        <f>SUM($I5:I5)</f>
        <v>834818</v>
      </c>
      <c r="W5" s="28">
        <f>SUM($I5:J5)</f>
        <v>1664852</v>
      </c>
      <c r="X5" s="28">
        <f>SUM($I5:K5)</f>
        <v>3066171</v>
      </c>
      <c r="Y5" s="28">
        <f>SUM($I5:L5)</f>
        <v>4722413</v>
      </c>
      <c r="Z5" s="28">
        <f>M5</f>
        <v>1127438</v>
      </c>
      <c r="AA5" s="28">
        <f>SUM($M5:N5)</f>
        <v>2654685</v>
      </c>
      <c r="AB5" s="28">
        <f>SUM($M5:O5)</f>
        <v>4081217</v>
      </c>
      <c r="AC5" s="28">
        <f>SUM($M5:P5)</f>
        <v>5822456.9632600006</v>
      </c>
    </row>
    <row r="6" spans="3:29" ht="15" thickBot="1" x14ac:dyDescent="0.35">
      <c r="C6" s="22" t="s">
        <v>41</v>
      </c>
      <c r="D6" s="22"/>
      <c r="E6" s="23">
        <v>-607617</v>
      </c>
      <c r="F6" s="23">
        <v>-707517</v>
      </c>
      <c r="G6" s="23">
        <v>-792189</v>
      </c>
      <c r="H6" s="23">
        <f>-3125617-G6-F6-E6</f>
        <v>-1018294</v>
      </c>
      <c r="I6" s="23">
        <v>-723093</v>
      </c>
      <c r="J6" s="23">
        <v>-710693</v>
      </c>
      <c r="K6" s="23">
        <v>-1164066</v>
      </c>
      <c r="L6" s="23">
        <f>-3984134-K6-J6-I6</f>
        <v>-1386282</v>
      </c>
      <c r="M6" s="23">
        <v>-947265</v>
      </c>
      <c r="N6" s="23">
        <v>-1306333</v>
      </c>
      <c r="O6" s="23">
        <v>-1212187</v>
      </c>
      <c r="P6" s="23">
        <v>-1464925</v>
      </c>
      <c r="R6" s="29">
        <f>SUM($E6:E6)</f>
        <v>-607617</v>
      </c>
      <c r="S6" s="29">
        <f>SUM($E6:F6)</f>
        <v>-1315134</v>
      </c>
      <c r="T6" s="29">
        <f>SUM($E6:G6)</f>
        <v>-2107323</v>
      </c>
      <c r="U6" s="29">
        <f>SUM($E6:H6)</f>
        <v>-3125617</v>
      </c>
      <c r="V6" s="29">
        <f>SUM($I6:I6)</f>
        <v>-723093</v>
      </c>
      <c r="W6" s="29">
        <f>SUM($I6:J6)</f>
        <v>-1433786</v>
      </c>
      <c r="X6" s="29">
        <f>SUM($I6:K6)</f>
        <v>-2597852</v>
      </c>
      <c r="Y6" s="29">
        <f>SUM($I6:L6)</f>
        <v>-3984134</v>
      </c>
      <c r="Z6" s="29">
        <f>M6</f>
        <v>-947265</v>
      </c>
      <c r="AA6" s="29">
        <f>SUM($M6:N6)</f>
        <v>-2253598</v>
      </c>
      <c r="AB6" s="29">
        <f>SUM($M6:O6)</f>
        <v>-3465785</v>
      </c>
      <c r="AC6" s="29">
        <f>SUM($M6:P6)</f>
        <v>-4930710</v>
      </c>
    </row>
    <row r="7" spans="3:29" s="5" customFormat="1" ht="15" thickTop="1" x14ac:dyDescent="0.3">
      <c r="C7" s="11" t="s">
        <v>42</v>
      </c>
      <c r="D7" s="11"/>
      <c r="E7" s="12">
        <f t="shared" ref="E7:L7" si="0">SUM(E5:E6)</f>
        <v>116296</v>
      </c>
      <c r="F7" s="12">
        <f t="shared" si="0"/>
        <v>159349</v>
      </c>
      <c r="G7" s="12">
        <f t="shared" si="0"/>
        <v>147141</v>
      </c>
      <c r="H7" s="12">
        <f t="shared" si="0"/>
        <v>162868</v>
      </c>
      <c r="I7" s="12">
        <f t="shared" si="0"/>
        <v>111725</v>
      </c>
      <c r="J7" s="12">
        <f t="shared" si="0"/>
        <v>119341</v>
      </c>
      <c r="K7" s="12">
        <f t="shared" si="0"/>
        <v>237253</v>
      </c>
      <c r="L7" s="12">
        <f t="shared" si="0"/>
        <v>269960</v>
      </c>
      <c r="M7" s="12">
        <f t="shared" ref="M7:P7" si="1">SUM(M5:M6)</f>
        <v>180173</v>
      </c>
      <c r="N7" s="12">
        <f t="shared" si="1"/>
        <v>220914</v>
      </c>
      <c r="O7" s="12">
        <f t="shared" si="1"/>
        <v>214345</v>
      </c>
      <c r="P7" s="12">
        <f t="shared" si="1"/>
        <v>276314.96326000011</v>
      </c>
      <c r="Q7" s="11"/>
      <c r="R7" s="12">
        <f t="shared" ref="R7:Z7" si="2">SUM(R5:R6)</f>
        <v>116296</v>
      </c>
      <c r="S7" s="12">
        <f t="shared" si="2"/>
        <v>275645</v>
      </c>
      <c r="T7" s="12">
        <f t="shared" si="2"/>
        <v>422786</v>
      </c>
      <c r="U7" s="12">
        <f t="shared" si="2"/>
        <v>585654</v>
      </c>
      <c r="V7" s="12">
        <f t="shared" si="2"/>
        <v>111725</v>
      </c>
      <c r="W7" s="12">
        <f t="shared" si="2"/>
        <v>231066</v>
      </c>
      <c r="X7" s="12">
        <f t="shared" si="2"/>
        <v>468319</v>
      </c>
      <c r="Y7" s="12">
        <f t="shared" si="2"/>
        <v>738279</v>
      </c>
      <c r="Z7" s="12">
        <f t="shared" si="2"/>
        <v>180173</v>
      </c>
      <c r="AA7" s="12">
        <f>SUM(AA5:AA6)</f>
        <v>401087</v>
      </c>
      <c r="AB7" s="12">
        <f>SUM(AB5:AB6)</f>
        <v>615432</v>
      </c>
      <c r="AC7" s="12">
        <f>SUM(AC5:AC6)</f>
        <v>891746.96326000057</v>
      </c>
    </row>
    <row r="8" spans="3:29" x14ac:dyDescent="0.3"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3:29" x14ac:dyDescent="0.3">
      <c r="C9" s="7" t="s">
        <v>166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3:29" x14ac:dyDescent="0.3">
      <c r="C10" s="9" t="s">
        <v>43</v>
      </c>
      <c r="D10" s="9"/>
      <c r="E10" s="10">
        <v>-61466</v>
      </c>
      <c r="F10" s="10">
        <v>-66397</v>
      </c>
      <c r="G10" s="10">
        <v>-68262</v>
      </c>
      <c r="H10" s="10">
        <f>-284264-G10-F10-E10</f>
        <v>-88139</v>
      </c>
      <c r="I10" s="10">
        <v>-59937</v>
      </c>
      <c r="J10" s="10">
        <v>-74260</v>
      </c>
      <c r="K10" s="10">
        <v>-89809</v>
      </c>
      <c r="L10" s="10">
        <f>-341931-K10-J10-I10</f>
        <v>-117925</v>
      </c>
      <c r="M10" s="10">
        <v>-77345</v>
      </c>
      <c r="N10" s="10">
        <v>-86753</v>
      </c>
      <c r="O10" s="10">
        <v>-90654</v>
      </c>
      <c r="P10" s="10">
        <v>-125568</v>
      </c>
      <c r="R10" s="28">
        <f>SUM($E10:E10)</f>
        <v>-61466</v>
      </c>
      <c r="S10" s="28">
        <f>SUM($E10:F10)</f>
        <v>-127863</v>
      </c>
      <c r="T10" s="28">
        <f>SUM($E10:G10)</f>
        <v>-196125</v>
      </c>
      <c r="U10" s="28">
        <f>SUM($E10:H10)</f>
        <v>-284264</v>
      </c>
      <c r="V10" s="28">
        <f>SUM($I10:I10)</f>
        <v>-59937</v>
      </c>
      <c r="W10" s="28">
        <f>SUM($I10:J10)</f>
        <v>-134197</v>
      </c>
      <c r="X10" s="28">
        <f>SUM($I10:K10)</f>
        <v>-224006</v>
      </c>
      <c r="Y10" s="28">
        <f>SUM($I10:L10)</f>
        <v>-341931</v>
      </c>
      <c r="Z10" s="28">
        <f t="shared" ref="Z10:Z13" si="3">M10</f>
        <v>-77345</v>
      </c>
      <c r="AA10" s="28">
        <f>SUM($M10:N10)</f>
        <v>-164098</v>
      </c>
      <c r="AB10" s="28">
        <f>SUM($M10:O10)</f>
        <v>-254752</v>
      </c>
      <c r="AC10" s="28">
        <f>SUM($M10:P10)</f>
        <v>-380320</v>
      </c>
    </row>
    <row r="11" spans="3:29" x14ac:dyDescent="0.3">
      <c r="C11" s="9" t="s">
        <v>44</v>
      </c>
      <c r="D11" s="9"/>
      <c r="E11" s="10">
        <v>-30674</v>
      </c>
      <c r="F11" s="10">
        <v>-30312</v>
      </c>
      <c r="G11" s="10">
        <v>-30308</v>
      </c>
      <c r="H11" s="10">
        <f>-124984-G11-F11-E11</f>
        <v>-33690</v>
      </c>
      <c r="I11" s="10">
        <v>-33493</v>
      </c>
      <c r="J11" s="10">
        <v>-22999</v>
      </c>
      <c r="K11" s="10">
        <v>-33736</v>
      </c>
      <c r="L11" s="10">
        <f>-132999-K11-J11-I11</f>
        <v>-42771</v>
      </c>
      <c r="M11" s="10">
        <v>-32086</v>
      </c>
      <c r="N11" s="10">
        <v>-34750</v>
      </c>
      <c r="O11" s="10">
        <v>-35984</v>
      </c>
      <c r="P11" s="10">
        <v>-40548.724610000005</v>
      </c>
      <c r="R11" s="28">
        <f>SUM($E11:E11)</f>
        <v>-30674</v>
      </c>
      <c r="S11" s="28">
        <f>SUM($E11:F11)</f>
        <v>-60986</v>
      </c>
      <c r="T11" s="28">
        <f>SUM($E11:G11)</f>
        <v>-91294</v>
      </c>
      <c r="U11" s="28">
        <f>SUM($E11:H11)</f>
        <v>-124984</v>
      </c>
      <c r="V11" s="28">
        <f>SUM($I11:I11)</f>
        <v>-33493</v>
      </c>
      <c r="W11" s="28">
        <f>SUM($I11:J11)</f>
        <v>-56492</v>
      </c>
      <c r="X11" s="28">
        <f>SUM($I11:K11)</f>
        <v>-90228</v>
      </c>
      <c r="Y11" s="28">
        <f>SUM($I11:L11)</f>
        <v>-132999</v>
      </c>
      <c r="Z11" s="28">
        <f t="shared" si="3"/>
        <v>-32086</v>
      </c>
      <c r="AA11" s="28">
        <f>SUM($M11:N11)</f>
        <v>-66836</v>
      </c>
      <c r="AB11" s="28">
        <f>SUM($M11:O11)</f>
        <v>-102820</v>
      </c>
      <c r="AC11" s="28">
        <f>SUM($M11:P11)</f>
        <v>-143368.72461</v>
      </c>
    </row>
    <row r="12" spans="3:29" x14ac:dyDescent="0.3">
      <c r="C12" s="9" t="s">
        <v>45</v>
      </c>
      <c r="D12" s="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R12" s="28">
        <f>SUM($E12:E12)</f>
        <v>0</v>
      </c>
      <c r="S12" s="28">
        <f>SUM($E12:F12)</f>
        <v>0</v>
      </c>
      <c r="T12" s="28">
        <f>SUM($E12:G12)</f>
        <v>0</v>
      </c>
      <c r="U12" s="28">
        <f>SUM($E12:H12)</f>
        <v>0</v>
      </c>
      <c r="V12" s="28">
        <f>SUM($I12:I12)</f>
        <v>0</v>
      </c>
      <c r="W12" s="28">
        <f>SUM($I12:J12)</f>
        <v>0</v>
      </c>
      <c r="X12" s="28">
        <f>SUM($I12:K12)</f>
        <v>0</v>
      </c>
      <c r="Y12" s="28">
        <f>SUM($I12:L12)</f>
        <v>0</v>
      </c>
      <c r="Z12" s="28">
        <f t="shared" si="3"/>
        <v>0</v>
      </c>
      <c r="AA12" s="28">
        <f>SUM($M12:N12)</f>
        <v>0</v>
      </c>
      <c r="AB12" s="28">
        <f>SUM($M12:O12)</f>
        <v>0</v>
      </c>
      <c r="AC12" s="28">
        <f>SUM($M12:P12)</f>
        <v>0</v>
      </c>
    </row>
    <row r="13" spans="3:29" ht="15" thickBot="1" x14ac:dyDescent="0.35">
      <c r="C13" s="22" t="s">
        <v>167</v>
      </c>
      <c r="D13" s="22"/>
      <c r="E13" s="23">
        <v>-261</v>
      </c>
      <c r="F13" s="23">
        <v>204</v>
      </c>
      <c r="G13" s="23">
        <v>2264</v>
      </c>
      <c r="H13" s="23">
        <f>3207-G13-F13-E13</f>
        <v>1000</v>
      </c>
      <c r="I13" s="23">
        <v>3644</v>
      </c>
      <c r="J13" s="23">
        <v>-1710</v>
      </c>
      <c r="K13" s="23">
        <v>-1510</v>
      </c>
      <c r="L13" s="23">
        <f>7036-K13-J13-I13</f>
        <v>6612</v>
      </c>
      <c r="M13" s="23">
        <v>1218</v>
      </c>
      <c r="N13" s="23">
        <v>5770.7336100000011</v>
      </c>
      <c r="O13" s="23">
        <v>-503</v>
      </c>
      <c r="P13" s="23">
        <v>62</v>
      </c>
      <c r="R13" s="29">
        <f>SUM($E13:E13)</f>
        <v>-261</v>
      </c>
      <c r="S13" s="29">
        <f>SUM($E13:F13)</f>
        <v>-57</v>
      </c>
      <c r="T13" s="29">
        <f>SUM($E13:G13)</f>
        <v>2207</v>
      </c>
      <c r="U13" s="29">
        <f>SUM($E13:H13)</f>
        <v>3207</v>
      </c>
      <c r="V13" s="29">
        <f>SUM($I13:I13)</f>
        <v>3644</v>
      </c>
      <c r="W13" s="29">
        <f>SUM($I13:J13)</f>
        <v>1934</v>
      </c>
      <c r="X13" s="29">
        <f>SUM($I13:K13)</f>
        <v>424</v>
      </c>
      <c r="Y13" s="29">
        <f>SUM($I13:L13)</f>
        <v>7036</v>
      </c>
      <c r="Z13" s="29">
        <f t="shared" si="3"/>
        <v>1218</v>
      </c>
      <c r="AA13" s="29">
        <f>SUM($M13:N13)</f>
        <v>6988.7336100000011</v>
      </c>
      <c r="AB13" s="29">
        <f>SUM($M13:O13)</f>
        <v>6485.7336100000011</v>
      </c>
      <c r="AC13" s="29">
        <f>SUM($M13:P13)</f>
        <v>6547.7336100000011</v>
      </c>
    </row>
    <row r="14" spans="3:29" s="5" customFormat="1" ht="15" thickTop="1" x14ac:dyDescent="0.3">
      <c r="C14" s="11" t="s">
        <v>46</v>
      </c>
      <c r="D14" s="11"/>
      <c r="E14" s="12">
        <f t="shared" ref="E14:H14" si="4">SUM(E10:E13)+E7</f>
        <v>23895</v>
      </c>
      <c r="F14" s="12">
        <f t="shared" si="4"/>
        <v>62844</v>
      </c>
      <c r="G14" s="12">
        <f t="shared" si="4"/>
        <v>50835</v>
      </c>
      <c r="H14" s="12">
        <f t="shared" si="4"/>
        <v>42039</v>
      </c>
      <c r="I14" s="12">
        <f>SUM(I10:I13)+I7</f>
        <v>21939</v>
      </c>
      <c r="J14" s="12">
        <f t="shared" ref="J14:L14" si="5">SUM(J10:J13)+J7</f>
        <v>20372</v>
      </c>
      <c r="K14" s="12">
        <f t="shared" si="5"/>
        <v>112198</v>
      </c>
      <c r="L14" s="12">
        <f t="shared" si="5"/>
        <v>115876</v>
      </c>
      <c r="M14" s="12">
        <f t="shared" ref="M14:P14" si="6">SUM(M10:M13)+M7</f>
        <v>71960</v>
      </c>
      <c r="N14" s="12">
        <f t="shared" si="6"/>
        <v>105181.73361</v>
      </c>
      <c r="O14" s="12">
        <f t="shared" si="6"/>
        <v>87204</v>
      </c>
      <c r="P14" s="12">
        <f t="shared" si="6"/>
        <v>110260.2386500001</v>
      </c>
      <c r="Q14" s="11"/>
      <c r="R14" s="12">
        <f t="shared" ref="R14" si="7">SUM(R10:R13)+R7</f>
        <v>23895</v>
      </c>
      <c r="S14" s="12">
        <f t="shared" ref="S14" si="8">SUM(S10:S13)+S7</f>
        <v>86739</v>
      </c>
      <c r="T14" s="12">
        <f t="shared" ref="T14" si="9">SUM(T10:T13)+T7</f>
        <v>137574</v>
      </c>
      <c r="U14" s="12">
        <f t="shared" ref="U14" si="10">SUM(U10:U13)+U7</f>
        <v>179613</v>
      </c>
      <c r="V14" s="12">
        <f t="shared" ref="V14" si="11">SUM(V10:V13)+V7</f>
        <v>21939</v>
      </c>
      <c r="W14" s="12">
        <f t="shared" ref="W14" si="12">SUM(W10:W13)+W7</f>
        <v>42311</v>
      </c>
      <c r="X14" s="12">
        <f t="shared" ref="X14" si="13">SUM(X10:X13)+X7</f>
        <v>154509</v>
      </c>
      <c r="Y14" s="12">
        <f t="shared" ref="Y14:AA14" si="14">SUM(Y10:Y13)+Y7</f>
        <v>270385</v>
      </c>
      <c r="Z14" s="12">
        <f t="shared" si="14"/>
        <v>71960</v>
      </c>
      <c r="AA14" s="12">
        <f t="shared" si="14"/>
        <v>177141.73361</v>
      </c>
      <c r="AB14" s="12">
        <f>SUM(AB10:AB13)+AB7</f>
        <v>264345.73361</v>
      </c>
      <c r="AC14" s="12">
        <f>SUM(AC10:AC13)+AC7</f>
        <v>374605.97226000053</v>
      </c>
    </row>
    <row r="15" spans="3:29" x14ac:dyDescent="0.3">
      <c r="C15" s="20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3:29" x14ac:dyDescent="0.3">
      <c r="C16" s="20" t="s">
        <v>168</v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3:29" x14ac:dyDescent="0.3">
      <c r="C17" s="9" t="s">
        <v>169</v>
      </c>
      <c r="D17" s="9"/>
      <c r="E17" s="10">
        <v>-21093</v>
      </c>
      <c r="F17" s="10">
        <v>-19511</v>
      </c>
      <c r="G17" s="10">
        <v>-17986</v>
      </c>
      <c r="H17" s="10">
        <f>-80099-G17-F17-E17</f>
        <v>-21509</v>
      </c>
      <c r="I17" s="10">
        <v>-21694</v>
      </c>
      <c r="J17" s="10">
        <v>-22971</v>
      </c>
      <c r="K17" s="10">
        <v>-19713</v>
      </c>
      <c r="L17" s="10">
        <f>-89640-K17-J17-I17</f>
        <v>-25262</v>
      </c>
      <c r="M17" s="10">
        <v>-17500</v>
      </c>
      <c r="N17" s="10">
        <v>-15948</v>
      </c>
      <c r="O17" s="10">
        <v>-29879</v>
      </c>
      <c r="P17" s="10">
        <v>-52300.044529999999</v>
      </c>
      <c r="R17" s="28">
        <f>SUM($E17:E17)</f>
        <v>-21093</v>
      </c>
      <c r="S17" s="28">
        <f>SUM($E17:F17)</f>
        <v>-40604</v>
      </c>
      <c r="T17" s="28">
        <f>SUM($E17:G17)</f>
        <v>-58590</v>
      </c>
      <c r="U17" s="28">
        <f>SUM($E17:H17)</f>
        <v>-80099</v>
      </c>
      <c r="V17" s="28">
        <f>SUM($I17:I17)</f>
        <v>-21694</v>
      </c>
      <c r="W17" s="28">
        <f>SUM($I17:J17)</f>
        <v>-44665</v>
      </c>
      <c r="X17" s="28">
        <f>SUM($I17:K17)</f>
        <v>-64378</v>
      </c>
      <c r="Y17" s="28">
        <f>SUM($I17:L17)</f>
        <v>-89640</v>
      </c>
      <c r="Z17" s="28">
        <f>M17</f>
        <v>-17500</v>
      </c>
      <c r="AA17" s="28">
        <f>SUM($M17:N17)</f>
        <v>-33448</v>
      </c>
      <c r="AB17" s="28">
        <f>SUM($M17:O17)</f>
        <v>-63327</v>
      </c>
      <c r="AC17" s="28">
        <f>SUM($M17:P17)</f>
        <v>-115627.04453</v>
      </c>
    </row>
    <row r="18" spans="3:29" ht="15" thickBot="1" x14ac:dyDescent="0.35">
      <c r="C18" s="22" t="s">
        <v>170</v>
      </c>
      <c r="D18" s="22"/>
      <c r="E18" s="24">
        <v>2820</v>
      </c>
      <c r="F18" s="24">
        <v>1493</v>
      </c>
      <c r="G18" s="24">
        <v>1576</v>
      </c>
      <c r="H18" s="24">
        <f>11319-G18-F18-E18</f>
        <v>5430</v>
      </c>
      <c r="I18" s="24">
        <v>2239</v>
      </c>
      <c r="J18" s="24">
        <v>4870</v>
      </c>
      <c r="K18" s="24">
        <v>2757</v>
      </c>
      <c r="L18" s="23">
        <f>11515-K18-J18-I18</f>
        <v>1649</v>
      </c>
      <c r="M18" s="23">
        <v>1289</v>
      </c>
      <c r="N18" s="23">
        <v>1510.5934699999993</v>
      </c>
      <c r="O18" s="23">
        <v>2615</v>
      </c>
      <c r="P18" s="23">
        <v>6321.527</v>
      </c>
      <c r="R18" s="29">
        <f>SUM($E18:E18)</f>
        <v>2820</v>
      </c>
      <c r="S18" s="29">
        <f>SUM($E18:F18)</f>
        <v>4313</v>
      </c>
      <c r="T18" s="29">
        <f>SUM($E18:G18)</f>
        <v>5889</v>
      </c>
      <c r="U18" s="29">
        <f>SUM($E18:H18)</f>
        <v>11319</v>
      </c>
      <c r="V18" s="29">
        <f>SUM($I18:I18)</f>
        <v>2239</v>
      </c>
      <c r="W18" s="29">
        <f>SUM($I18:J18)</f>
        <v>7109</v>
      </c>
      <c r="X18" s="29">
        <f>SUM($I18:K18)</f>
        <v>9866</v>
      </c>
      <c r="Y18" s="29">
        <f>SUM($I18:L18)</f>
        <v>11515</v>
      </c>
      <c r="Z18" s="29">
        <f>M18</f>
        <v>1289</v>
      </c>
      <c r="AA18" s="29">
        <f>SUM($M18:N18)</f>
        <v>2799.5934699999993</v>
      </c>
      <c r="AB18" s="29">
        <f>SUM($M18:O18)</f>
        <v>5414.5934699999998</v>
      </c>
      <c r="AC18" s="29">
        <f>SUM($M18:P18)</f>
        <v>11736.12047</v>
      </c>
    </row>
    <row r="19" spans="3:29" s="5" customFormat="1" ht="15" thickTop="1" x14ac:dyDescent="0.3">
      <c r="C19" s="11" t="s">
        <v>47</v>
      </c>
      <c r="D19" s="11"/>
      <c r="E19" s="12">
        <f t="shared" ref="E19:H19" si="15">SUM(E17:E18)+E14</f>
        <v>5622</v>
      </c>
      <c r="F19" s="12">
        <f t="shared" si="15"/>
        <v>44826</v>
      </c>
      <c r="G19" s="12">
        <f t="shared" si="15"/>
        <v>34425</v>
      </c>
      <c r="H19" s="12">
        <f t="shared" si="15"/>
        <v>25960</v>
      </c>
      <c r="I19" s="12">
        <f>SUM(I17:I18)+I14</f>
        <v>2484</v>
      </c>
      <c r="J19" s="12">
        <f t="shared" ref="J19:L19" si="16">SUM(J17:J18)+J14</f>
        <v>2271</v>
      </c>
      <c r="K19" s="12">
        <f t="shared" si="16"/>
        <v>95242</v>
      </c>
      <c r="L19" s="12">
        <f t="shared" si="16"/>
        <v>92263</v>
      </c>
      <c r="M19" s="12">
        <f t="shared" ref="M19:P19" si="17">SUM(M17:M18)+M14</f>
        <v>55749</v>
      </c>
      <c r="N19" s="12">
        <f t="shared" si="17"/>
        <v>90744.327079999988</v>
      </c>
      <c r="O19" s="12">
        <f t="shared" si="17"/>
        <v>59940</v>
      </c>
      <c r="P19" s="12">
        <f t="shared" si="17"/>
        <v>64281.721120000104</v>
      </c>
      <c r="Q19" s="11"/>
      <c r="R19" s="12">
        <f t="shared" ref="R19" si="18">SUM(R17:R18)+R14</f>
        <v>5622</v>
      </c>
      <c r="S19" s="12">
        <f t="shared" ref="S19" si="19">SUM(S17:S18)+S14</f>
        <v>50448</v>
      </c>
      <c r="T19" s="12">
        <f t="shared" ref="T19" si="20">SUM(T17:T18)+T14</f>
        <v>84873</v>
      </c>
      <c r="U19" s="12">
        <f t="shared" ref="U19" si="21">SUM(U17:U18)+U14</f>
        <v>110833</v>
      </c>
      <c r="V19" s="12">
        <f t="shared" ref="V19" si="22">SUM(V17:V18)+V14</f>
        <v>2484</v>
      </c>
      <c r="W19" s="12">
        <f t="shared" ref="W19" si="23">SUM(W17:W18)+W14</f>
        <v>4755</v>
      </c>
      <c r="X19" s="12">
        <f t="shared" ref="X19" si="24">SUM(X17:X18)+X14</f>
        <v>99997</v>
      </c>
      <c r="Y19" s="12">
        <f t="shared" ref="Y19:AA19" si="25">SUM(Y17:Y18)+Y14</f>
        <v>192260</v>
      </c>
      <c r="Z19" s="12">
        <f t="shared" si="25"/>
        <v>55749</v>
      </c>
      <c r="AA19" s="12">
        <f t="shared" si="25"/>
        <v>146493.32707999999</v>
      </c>
      <c r="AB19" s="12">
        <f t="shared" ref="AB19:AC19" si="26">SUM(AB17:AB18)+AB14</f>
        <v>206433.32707999999</v>
      </c>
      <c r="AC19" s="12">
        <f t="shared" si="26"/>
        <v>270715.04820000054</v>
      </c>
    </row>
    <row r="21" spans="3:29" x14ac:dyDescent="0.3">
      <c r="C21" s="7" t="s">
        <v>171</v>
      </c>
    </row>
    <row r="22" spans="3:29" x14ac:dyDescent="0.3">
      <c r="C22" s="9" t="s">
        <v>48</v>
      </c>
      <c r="D22" s="9"/>
      <c r="E22" s="10">
        <v>-2795</v>
      </c>
      <c r="F22" s="10">
        <v>-1093</v>
      </c>
      <c r="G22" s="10">
        <v>-1084</v>
      </c>
      <c r="H22" s="10">
        <f>-4953-G22-F22-E22</f>
        <v>19</v>
      </c>
      <c r="I22" s="10">
        <v>0</v>
      </c>
      <c r="J22" s="10">
        <v>0</v>
      </c>
      <c r="K22" s="10">
        <v>0</v>
      </c>
      <c r="L22" s="10">
        <f>-1092-K22-J22-I22</f>
        <v>-1092</v>
      </c>
      <c r="M22" s="10">
        <f>-1092-L22-K22-J22</f>
        <v>0</v>
      </c>
      <c r="N22" s="10">
        <v>0</v>
      </c>
      <c r="O22" s="10">
        <v>3339</v>
      </c>
      <c r="P22" s="10">
        <v>4897</v>
      </c>
      <c r="R22" s="28">
        <f>SUM($E22:E22)</f>
        <v>-2795</v>
      </c>
      <c r="S22" s="28">
        <f>SUM($E22:F22)</f>
        <v>-3888</v>
      </c>
      <c r="T22" s="28">
        <f>SUM($E22:G22)</f>
        <v>-4972</v>
      </c>
      <c r="U22" s="28">
        <f>SUM($E22:H22)</f>
        <v>-4953</v>
      </c>
      <c r="V22" s="28">
        <f>SUM($I22:I22)</f>
        <v>0</v>
      </c>
      <c r="W22" s="28">
        <f>SUM($I22:J22)</f>
        <v>0</v>
      </c>
      <c r="X22" s="28">
        <f>SUM($I22:K22)</f>
        <v>0</v>
      </c>
      <c r="Y22" s="28">
        <f>SUM($I22:L22)</f>
        <v>-1092</v>
      </c>
      <c r="Z22" s="28">
        <f t="shared" ref="Z22:Z23" si="27">M22</f>
        <v>0</v>
      </c>
      <c r="AA22" s="28">
        <f>SUM($M22:N22)</f>
        <v>0</v>
      </c>
      <c r="AB22" s="28">
        <f>SUM($M22:O22)</f>
        <v>3339</v>
      </c>
      <c r="AC22" s="28">
        <f>SUM($M22:P22)</f>
        <v>8236</v>
      </c>
    </row>
    <row r="23" spans="3:29" ht="15" thickBot="1" x14ac:dyDescent="0.35">
      <c r="C23" s="22" t="s">
        <v>172</v>
      </c>
      <c r="D23" s="22"/>
      <c r="E23" s="24">
        <v>7212</v>
      </c>
      <c r="F23" s="24">
        <v>-8678</v>
      </c>
      <c r="G23" s="24">
        <v>-7977</v>
      </c>
      <c r="H23" s="24">
        <f>-5250-G23-F23-E23</f>
        <v>4193</v>
      </c>
      <c r="I23" s="24">
        <v>6774</v>
      </c>
      <c r="J23" s="24">
        <v>6103</v>
      </c>
      <c r="K23" s="24">
        <v>-18197</v>
      </c>
      <c r="L23" s="23">
        <f>-23523-K23-J23-I23</f>
        <v>-18203</v>
      </c>
      <c r="M23" s="23">
        <v>-9380</v>
      </c>
      <c r="N23" s="23">
        <v>-16439.591209999999</v>
      </c>
      <c r="O23" s="23">
        <v>-840</v>
      </c>
      <c r="P23" s="23">
        <v>3085</v>
      </c>
      <c r="R23" s="29">
        <f>SUM($E23:E23)</f>
        <v>7212</v>
      </c>
      <c r="S23" s="29">
        <f>SUM($E23:F23)</f>
        <v>-1466</v>
      </c>
      <c r="T23" s="29">
        <f>SUM($E23:G23)</f>
        <v>-9443</v>
      </c>
      <c r="U23" s="29">
        <f>SUM($E23:H23)</f>
        <v>-5250</v>
      </c>
      <c r="V23" s="29">
        <f>SUM($I23:I23)</f>
        <v>6774</v>
      </c>
      <c r="W23" s="29">
        <f>SUM($I23:J23)</f>
        <v>12877</v>
      </c>
      <c r="X23" s="29">
        <f>SUM($I23:K23)</f>
        <v>-5320</v>
      </c>
      <c r="Y23" s="29">
        <f>SUM($I23:L23)</f>
        <v>-23523</v>
      </c>
      <c r="Z23" s="29">
        <f t="shared" si="27"/>
        <v>-9380</v>
      </c>
      <c r="AA23" s="29">
        <f>SUM($M23:N23)</f>
        <v>-25819.591209999999</v>
      </c>
      <c r="AB23" s="29">
        <f>SUM($M23:O23)</f>
        <v>-26659.591209999999</v>
      </c>
      <c r="AC23" s="29">
        <f>SUM($M23:P23)</f>
        <v>-23574.591209999999</v>
      </c>
    </row>
    <row r="24" spans="3:29" s="5" customFormat="1" ht="15" thickTop="1" x14ac:dyDescent="0.3">
      <c r="C24" s="11" t="s">
        <v>176</v>
      </c>
      <c r="D24" s="11"/>
      <c r="E24" s="12">
        <f t="shared" ref="E24:H24" si="28">SUM(E22:E23)+E19</f>
        <v>10039</v>
      </c>
      <c r="F24" s="12">
        <f t="shared" si="28"/>
        <v>35055</v>
      </c>
      <c r="G24" s="12">
        <f t="shared" si="28"/>
        <v>25364</v>
      </c>
      <c r="H24" s="12">
        <f t="shared" si="28"/>
        <v>30172</v>
      </c>
      <c r="I24" s="12">
        <f>SUM(I22:I23)+I19</f>
        <v>9258</v>
      </c>
      <c r="J24" s="12">
        <f t="shared" ref="J24:L24" si="29">SUM(J22:J23)+J19</f>
        <v>8374</v>
      </c>
      <c r="K24" s="12">
        <f t="shared" si="29"/>
        <v>77045</v>
      </c>
      <c r="L24" s="12">
        <f t="shared" si="29"/>
        <v>72968</v>
      </c>
      <c r="M24" s="12">
        <f t="shared" ref="M24" si="30">SUM(M22:M23)+M19</f>
        <v>46369</v>
      </c>
      <c r="N24" s="12">
        <f>SUM(N22:N23)+N19</f>
        <v>74304.73586999999</v>
      </c>
      <c r="O24" s="12">
        <f>SUM(O22:O23)+O19</f>
        <v>62439</v>
      </c>
      <c r="P24" s="12">
        <f>SUM(P22:P23)+P19</f>
        <v>72263.721120000104</v>
      </c>
      <c r="Q24" s="11"/>
      <c r="R24" s="12">
        <f t="shared" ref="R24" si="31">SUM(R22:R23)+R19</f>
        <v>10039</v>
      </c>
      <c r="S24" s="12">
        <f t="shared" ref="S24" si="32">SUM(S22:S23)+S19</f>
        <v>45094</v>
      </c>
      <c r="T24" s="12">
        <f t="shared" ref="T24" si="33">SUM(T22:T23)+T19</f>
        <v>70458</v>
      </c>
      <c r="U24" s="12">
        <f t="shared" ref="U24" si="34">SUM(U22:U23)+U19</f>
        <v>100630</v>
      </c>
      <c r="V24" s="12">
        <f t="shared" ref="V24" si="35">SUM(V22:V23)+V19</f>
        <v>9258</v>
      </c>
      <c r="W24" s="12">
        <f t="shared" ref="W24" si="36">SUM(W22:W23)+W19</f>
        <v>17632</v>
      </c>
      <c r="X24" s="12">
        <f t="shared" ref="X24" si="37">SUM(X22:X23)+X19</f>
        <v>94677</v>
      </c>
      <c r="Y24" s="12">
        <f t="shared" ref="Y24:AA24" si="38">SUM(Y22:Y23)+Y19</f>
        <v>167645</v>
      </c>
      <c r="Z24" s="12">
        <f t="shared" si="38"/>
        <v>46369</v>
      </c>
      <c r="AA24" s="12">
        <f t="shared" si="38"/>
        <v>120673.73586999999</v>
      </c>
      <c r="AB24" s="12">
        <f t="shared" ref="AB24:AC24" si="39">SUM(AB22:AB23)+AB19</f>
        <v>183112.73586999997</v>
      </c>
      <c r="AC24" s="12">
        <f t="shared" si="39"/>
        <v>255376.45699000056</v>
      </c>
    </row>
    <row r="26" spans="3:29" x14ac:dyDescent="0.3">
      <c r="C26" s="20" t="s">
        <v>189</v>
      </c>
      <c r="P26" s="90">
        <v>83923.963260000179</v>
      </c>
    </row>
    <row r="27" spans="3:29" x14ac:dyDescent="0.3">
      <c r="C27" s="20" t="s">
        <v>173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90">
        <v>-101388.26639</v>
      </c>
      <c r="O27" s="90">
        <v>0</v>
      </c>
      <c r="P27" s="90">
        <v>-15439.103000000003</v>
      </c>
      <c r="R27" s="90">
        <f>SUM($E27:E27)</f>
        <v>0</v>
      </c>
      <c r="S27" s="90">
        <f>SUM($E27:F27)</f>
        <v>0</v>
      </c>
      <c r="T27" s="90">
        <f>SUM($E27:G27)</f>
        <v>0</v>
      </c>
      <c r="U27" s="90">
        <f>SUM($E27:H27)</f>
        <v>0</v>
      </c>
      <c r="V27" s="90">
        <f>SUM($I27:I27)</f>
        <v>0</v>
      </c>
      <c r="W27" s="90">
        <f>SUM($I27:J27)</f>
        <v>0</v>
      </c>
      <c r="X27" s="90">
        <f>SUM($I27:K27)</f>
        <v>0</v>
      </c>
      <c r="Y27" s="90">
        <f>SUM($I27:L27)</f>
        <v>0</v>
      </c>
      <c r="Z27" s="90">
        <f t="shared" ref="Z27:Z31" si="40">M27</f>
        <v>0</v>
      </c>
      <c r="AA27" s="90">
        <f>SUM($M27:N27)</f>
        <v>-101388.26639</v>
      </c>
      <c r="AB27" s="90">
        <f>SUM($M27:O27)</f>
        <v>-101388.26639</v>
      </c>
      <c r="AC27" s="90">
        <f>SUM($M27:P27)</f>
        <v>-116827.36939000001</v>
      </c>
    </row>
    <row r="28" spans="3:29" x14ac:dyDescent="0.3">
      <c r="C28" s="20" t="s">
        <v>174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90">
        <v>-16839.40653</v>
      </c>
      <c r="O28" s="90">
        <v>0</v>
      </c>
      <c r="P28" s="90">
        <v>8600.4824700000008</v>
      </c>
      <c r="R28" s="90">
        <f>SUM($E28:E28)</f>
        <v>0</v>
      </c>
      <c r="S28" s="90">
        <f>SUM($E28:F28)</f>
        <v>0</v>
      </c>
      <c r="T28" s="90">
        <f>SUM($E28:G28)</f>
        <v>0</v>
      </c>
      <c r="U28" s="90">
        <f>SUM($E28:H28)</f>
        <v>0</v>
      </c>
      <c r="V28" s="90">
        <f>SUM($I28:I28)</f>
        <v>0</v>
      </c>
      <c r="W28" s="90">
        <f>SUM($I28:J28)</f>
        <v>0</v>
      </c>
      <c r="X28" s="90">
        <f>SUM($I28:K28)</f>
        <v>0</v>
      </c>
      <c r="Y28" s="90">
        <f>SUM($I28:L28)</f>
        <v>0</v>
      </c>
      <c r="Z28" s="90">
        <f t="shared" si="40"/>
        <v>0</v>
      </c>
      <c r="AA28" s="90">
        <f>SUM($M28:N28)</f>
        <v>-16839.40653</v>
      </c>
      <c r="AB28" s="90">
        <f>SUM($M28:O28)</f>
        <v>-16839.40653</v>
      </c>
      <c r="AC28" s="90">
        <f>SUM($M28:P28)</f>
        <v>-8238.9240599999994</v>
      </c>
    </row>
    <row r="29" spans="3:29" x14ac:dyDescent="0.3">
      <c r="C29" s="20" t="str">
        <f>[1]BD!B81</f>
        <v>Lucro antes do IR/CSLL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90">
        <v>-118227</v>
      </c>
      <c r="O29" s="90">
        <v>0</v>
      </c>
      <c r="P29" s="90">
        <v>77085.342730000179</v>
      </c>
      <c r="R29" s="90">
        <f>SUM($E29:E29)</f>
        <v>0</v>
      </c>
      <c r="S29" s="90">
        <f>SUM($E29:F29)</f>
        <v>0</v>
      </c>
      <c r="T29" s="90">
        <f>SUM($E29:G29)</f>
        <v>0</v>
      </c>
      <c r="U29" s="90">
        <f>SUM($E29:H29)</f>
        <v>0</v>
      </c>
      <c r="V29" s="90">
        <f>SUM($I29:I29)</f>
        <v>0</v>
      </c>
      <c r="W29" s="90">
        <f>SUM($I29:J29)</f>
        <v>0</v>
      </c>
      <c r="X29" s="90">
        <f>SUM($I29:K29)</f>
        <v>0</v>
      </c>
      <c r="Y29" s="90">
        <f>SUM($I29:L29)</f>
        <v>0</v>
      </c>
      <c r="Z29" s="90">
        <f t="shared" si="40"/>
        <v>0</v>
      </c>
      <c r="AA29" s="90">
        <f>SUM($M29:N29)</f>
        <v>-118227</v>
      </c>
      <c r="AB29" s="90">
        <f>SUM($M29:O29)</f>
        <v>-118227</v>
      </c>
      <c r="AC29" s="90">
        <f>SUM($M29:P29)</f>
        <v>-41141.657269999821</v>
      </c>
    </row>
    <row r="30" spans="3:29" ht="15" thickBot="1" x14ac:dyDescent="0.35">
      <c r="C30" s="16" t="s">
        <v>175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9">
        <v>40197.408790000001</v>
      </c>
      <c r="O30" s="29">
        <v>-6004</v>
      </c>
      <c r="P30" s="29">
        <v>-25904.85714</v>
      </c>
      <c r="R30" s="29">
        <f>SUM($E30:E30)</f>
        <v>0</v>
      </c>
      <c r="S30" s="29">
        <f>SUM($E30:F30)</f>
        <v>0</v>
      </c>
      <c r="T30" s="29">
        <f>SUM($E30:G30)</f>
        <v>0</v>
      </c>
      <c r="U30" s="29">
        <f>SUM($E30:H30)</f>
        <v>0</v>
      </c>
      <c r="V30" s="29">
        <f>SUM($I30:I30)</f>
        <v>0</v>
      </c>
      <c r="W30" s="29">
        <f>SUM($I30:J30)</f>
        <v>0</v>
      </c>
      <c r="X30" s="29">
        <f>SUM($I30:K30)</f>
        <v>0</v>
      </c>
      <c r="Y30" s="29">
        <f>SUM($I30:L30)</f>
        <v>0</v>
      </c>
      <c r="Z30" s="29">
        <f t="shared" si="40"/>
        <v>0</v>
      </c>
      <c r="AA30" s="29">
        <f>SUM($M30:N30)</f>
        <v>40197.408790000001</v>
      </c>
      <c r="AB30" s="29">
        <f>SUM($M30:O30)</f>
        <v>34193.408790000001</v>
      </c>
      <c r="AC30" s="29">
        <f>SUM($M30:P30)</f>
        <v>8288.5516500000012</v>
      </c>
    </row>
    <row r="31" spans="3:29" s="5" customFormat="1" ht="15" thickTop="1" x14ac:dyDescent="0.3">
      <c r="C31" s="11" t="s">
        <v>177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7">
        <f>SUM(N29:N30)</f>
        <v>-78029.591209999999</v>
      </c>
      <c r="O31" s="27">
        <f>SUM(O29:O30)</f>
        <v>-6004</v>
      </c>
      <c r="P31" s="27">
        <f>SUM(P29:P30)</f>
        <v>51180.485590000178</v>
      </c>
      <c r="Q31" s="11"/>
      <c r="R31" s="28">
        <f>SUM($E31:E31)</f>
        <v>0</v>
      </c>
      <c r="S31" s="28">
        <f>SUM($E31:F31)</f>
        <v>0</v>
      </c>
      <c r="T31" s="28">
        <f>SUM($E31:G31)</f>
        <v>0</v>
      </c>
      <c r="U31" s="28">
        <f>SUM($E31:H31)</f>
        <v>0</v>
      </c>
      <c r="V31" s="28">
        <f>SUM($I31:I31)</f>
        <v>0</v>
      </c>
      <c r="W31" s="28">
        <f>SUM($I31:J31)</f>
        <v>0</v>
      </c>
      <c r="X31" s="28">
        <f>SUM($I31:K31)</f>
        <v>0</v>
      </c>
      <c r="Y31" s="28">
        <f>SUM($I31:L31)</f>
        <v>0</v>
      </c>
      <c r="Z31" s="28">
        <f t="shared" si="40"/>
        <v>0</v>
      </c>
      <c r="AA31" s="28">
        <f>SUM($M31:N31)</f>
        <v>-78029.591209999999</v>
      </c>
      <c r="AB31" s="28">
        <f>SUM($M31:O31)</f>
        <v>-84033.591209999999</v>
      </c>
      <c r="AC31" s="28">
        <f>SUM($M31:P31)</f>
        <v>-32853.10561999982</v>
      </c>
    </row>
    <row r="32" spans="3:29" ht="15" thickBot="1" x14ac:dyDescent="0.3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R32" s="16"/>
      <c r="S32" s="16"/>
      <c r="T32" s="16"/>
      <c r="U32" s="16"/>
      <c r="V32" s="16"/>
      <c r="W32" s="91"/>
      <c r="X32" s="91"/>
      <c r="Y32" s="91"/>
      <c r="Z32" s="91"/>
      <c r="AA32" s="91"/>
      <c r="AB32" s="91"/>
      <c r="AC32" s="91"/>
    </row>
    <row r="33" spans="3:29" s="5" customFormat="1" ht="15" thickTop="1" x14ac:dyDescent="0.3">
      <c r="C33" s="11" t="s">
        <v>49</v>
      </c>
      <c r="D33" s="11"/>
      <c r="E33" s="27">
        <f t="shared" ref="E33:M33" si="41">E31+E24</f>
        <v>10039</v>
      </c>
      <c r="F33" s="27">
        <f t="shared" si="41"/>
        <v>35055</v>
      </c>
      <c r="G33" s="27">
        <f t="shared" si="41"/>
        <v>25364</v>
      </c>
      <c r="H33" s="27">
        <f t="shared" si="41"/>
        <v>30172</v>
      </c>
      <c r="I33" s="27">
        <f t="shared" si="41"/>
        <v>9258</v>
      </c>
      <c r="J33" s="27">
        <f t="shared" si="41"/>
        <v>8374</v>
      </c>
      <c r="K33" s="27">
        <f t="shared" si="41"/>
        <v>77045</v>
      </c>
      <c r="L33" s="27">
        <f t="shared" si="41"/>
        <v>72968</v>
      </c>
      <c r="M33" s="27">
        <f t="shared" si="41"/>
        <v>46369</v>
      </c>
      <c r="N33" s="27">
        <f>N24-N31</f>
        <v>152334.32707999999</v>
      </c>
      <c r="O33" s="27">
        <f>O24-O31</f>
        <v>68443</v>
      </c>
      <c r="P33" s="27">
        <f>P24-P31</f>
        <v>21083.235529999925</v>
      </c>
      <c r="Q33" s="11"/>
      <c r="R33" s="90">
        <f>SUM($E33:E33)</f>
        <v>10039</v>
      </c>
      <c r="S33" s="90">
        <f>SUM($E33:F33)</f>
        <v>45094</v>
      </c>
      <c r="T33" s="90">
        <f>SUM($E33:G33)</f>
        <v>70458</v>
      </c>
      <c r="U33" s="90">
        <f>SUM($E33:H33)</f>
        <v>100630</v>
      </c>
      <c r="V33" s="90">
        <f>SUM($I33:I33)</f>
        <v>9258</v>
      </c>
      <c r="W33" s="90">
        <f>SUM($I33:J33)</f>
        <v>17632</v>
      </c>
      <c r="X33" s="90">
        <f>SUM($I33:K33)</f>
        <v>94677</v>
      </c>
      <c r="Y33" s="90">
        <f>SUM($I33:L33)</f>
        <v>167645</v>
      </c>
      <c r="Z33" s="90">
        <f t="shared" ref="Z33" si="42">M33</f>
        <v>46369</v>
      </c>
      <c r="AA33" s="90">
        <f>SUM($M33:N33)</f>
        <v>198703.32707999999</v>
      </c>
      <c r="AB33" s="90">
        <f>SUM($M33:O33)</f>
        <v>267146.32707999996</v>
      </c>
      <c r="AC33" s="90">
        <f>SUM($M33:P33)</f>
        <v>288229.56260999991</v>
      </c>
    </row>
    <row r="36" spans="3:29" x14ac:dyDescent="0.3">
      <c r="C36" s="11" t="s">
        <v>178</v>
      </c>
    </row>
    <row r="37" spans="3:29" x14ac:dyDescent="0.3">
      <c r="C37" s="14" t="s">
        <v>180</v>
      </c>
      <c r="D37" s="14"/>
      <c r="E37" s="43">
        <f t="shared" ref="E37:N37" si="43">E24</f>
        <v>10039</v>
      </c>
      <c r="F37" s="43">
        <f t="shared" si="43"/>
        <v>35055</v>
      </c>
      <c r="G37" s="43">
        <f t="shared" si="43"/>
        <v>25364</v>
      </c>
      <c r="H37" s="43">
        <f t="shared" si="43"/>
        <v>30172</v>
      </c>
      <c r="I37" s="43">
        <f t="shared" si="43"/>
        <v>9258</v>
      </c>
      <c r="J37" s="43">
        <f t="shared" si="43"/>
        <v>8374</v>
      </c>
      <c r="K37" s="43">
        <f t="shared" si="43"/>
        <v>77045</v>
      </c>
      <c r="L37" s="43">
        <f t="shared" si="43"/>
        <v>72968</v>
      </c>
      <c r="M37" s="43">
        <f t="shared" si="43"/>
        <v>46369</v>
      </c>
      <c r="N37" s="43">
        <f t="shared" si="43"/>
        <v>74304.73586999999</v>
      </c>
      <c r="O37" s="43">
        <f t="shared" ref="O37" si="44">O24</f>
        <v>62439</v>
      </c>
      <c r="P37" s="43">
        <f>P24</f>
        <v>72263.721120000104</v>
      </c>
      <c r="Q37" s="28"/>
      <c r="R37" s="43">
        <f t="shared" ref="R37:Z37" si="45">R24</f>
        <v>10039</v>
      </c>
      <c r="S37" s="43">
        <f t="shared" si="45"/>
        <v>45094</v>
      </c>
      <c r="T37" s="43">
        <f t="shared" si="45"/>
        <v>70458</v>
      </c>
      <c r="U37" s="43">
        <f t="shared" si="45"/>
        <v>100630</v>
      </c>
      <c r="V37" s="43">
        <f t="shared" si="45"/>
        <v>9258</v>
      </c>
      <c r="W37" s="43">
        <f t="shared" si="45"/>
        <v>17632</v>
      </c>
      <c r="X37" s="43">
        <f t="shared" si="45"/>
        <v>94677</v>
      </c>
      <c r="Y37" s="43">
        <f t="shared" si="45"/>
        <v>167645</v>
      </c>
      <c r="Z37" s="43">
        <f t="shared" si="45"/>
        <v>46369</v>
      </c>
      <c r="AA37" s="43">
        <f>AA24</f>
        <v>120673.73586999999</v>
      </c>
      <c r="AB37" s="43">
        <f>AB24</f>
        <v>183112.73586999997</v>
      </c>
      <c r="AC37" s="43">
        <f>AC24</f>
        <v>255376.45699000056</v>
      </c>
    </row>
    <row r="38" spans="3:29" x14ac:dyDescent="0.3">
      <c r="C38" s="14" t="s">
        <v>71</v>
      </c>
      <c r="D38" s="14"/>
      <c r="E38" s="43">
        <f t="shared" ref="E38:N38" si="46">-SUM(E17:E18)</f>
        <v>18273</v>
      </c>
      <c r="F38" s="43">
        <f t="shared" si="46"/>
        <v>18018</v>
      </c>
      <c r="G38" s="43">
        <f t="shared" si="46"/>
        <v>16410</v>
      </c>
      <c r="H38" s="43">
        <f t="shared" si="46"/>
        <v>16079</v>
      </c>
      <c r="I38" s="43">
        <f t="shared" si="46"/>
        <v>19455</v>
      </c>
      <c r="J38" s="43">
        <f t="shared" si="46"/>
        <v>18101</v>
      </c>
      <c r="K38" s="43">
        <f t="shared" si="46"/>
        <v>16956</v>
      </c>
      <c r="L38" s="43">
        <f t="shared" si="46"/>
        <v>23613</v>
      </c>
      <c r="M38" s="43">
        <f t="shared" si="46"/>
        <v>16211</v>
      </c>
      <c r="N38" s="43">
        <f t="shared" si="46"/>
        <v>14437.40653</v>
      </c>
      <c r="O38" s="43">
        <f t="shared" ref="O38:P38" si="47">-SUM(O17:O18)</f>
        <v>27264</v>
      </c>
      <c r="P38" s="43">
        <f t="shared" si="47"/>
        <v>45978.517529999997</v>
      </c>
      <c r="Q38" s="28"/>
      <c r="R38" s="43">
        <f t="shared" ref="R38:AA38" si="48">-SUM(R17:R18)</f>
        <v>18273</v>
      </c>
      <c r="S38" s="43">
        <f t="shared" si="48"/>
        <v>36291</v>
      </c>
      <c r="T38" s="43">
        <f t="shared" si="48"/>
        <v>52701</v>
      </c>
      <c r="U38" s="43">
        <f t="shared" si="48"/>
        <v>68780</v>
      </c>
      <c r="V38" s="43">
        <f t="shared" si="48"/>
        <v>19455</v>
      </c>
      <c r="W38" s="43">
        <f t="shared" si="48"/>
        <v>37556</v>
      </c>
      <c r="X38" s="43">
        <f t="shared" si="48"/>
        <v>54512</v>
      </c>
      <c r="Y38" s="43">
        <f t="shared" si="48"/>
        <v>78125</v>
      </c>
      <c r="Z38" s="43">
        <f t="shared" si="48"/>
        <v>16211</v>
      </c>
      <c r="AA38" s="43">
        <f t="shared" si="48"/>
        <v>30648.40653</v>
      </c>
      <c r="AB38" s="43">
        <f t="shared" ref="AB38:AC38" si="49">-SUM(AB17:AB18)</f>
        <v>57912.40653</v>
      </c>
      <c r="AC38" s="43">
        <f t="shared" si="49"/>
        <v>103890.92406</v>
      </c>
    </row>
    <row r="39" spans="3:29" x14ac:dyDescent="0.3">
      <c r="C39" s="14" t="s">
        <v>69</v>
      </c>
      <c r="D39" s="14"/>
      <c r="E39" s="43">
        <f t="shared" ref="E39:N39" si="50">-SUM(E22:E23)</f>
        <v>-4417</v>
      </c>
      <c r="F39" s="43">
        <f t="shared" si="50"/>
        <v>9771</v>
      </c>
      <c r="G39" s="43">
        <f t="shared" si="50"/>
        <v>9061</v>
      </c>
      <c r="H39" s="43">
        <f t="shared" si="50"/>
        <v>-4212</v>
      </c>
      <c r="I39" s="43">
        <f t="shared" si="50"/>
        <v>-6774</v>
      </c>
      <c r="J39" s="43">
        <f t="shared" si="50"/>
        <v>-6103</v>
      </c>
      <c r="K39" s="43">
        <f t="shared" si="50"/>
        <v>18197</v>
      </c>
      <c r="L39" s="43">
        <f t="shared" si="50"/>
        <v>19295</v>
      </c>
      <c r="M39" s="43">
        <f t="shared" si="50"/>
        <v>9380</v>
      </c>
      <c r="N39" s="43">
        <f t="shared" si="50"/>
        <v>16439.591209999999</v>
      </c>
      <c r="O39" s="43">
        <f t="shared" ref="O39:P39" si="51">-SUM(O22:O23)</f>
        <v>-2499</v>
      </c>
      <c r="P39" s="43">
        <f t="shared" si="51"/>
        <v>-7982</v>
      </c>
      <c r="Q39" s="28"/>
      <c r="R39" s="43">
        <f t="shared" ref="R39:AA39" si="52">-SUM(R22:R23)</f>
        <v>-4417</v>
      </c>
      <c r="S39" s="43">
        <f t="shared" si="52"/>
        <v>5354</v>
      </c>
      <c r="T39" s="43">
        <f t="shared" si="52"/>
        <v>14415</v>
      </c>
      <c r="U39" s="43">
        <f t="shared" si="52"/>
        <v>10203</v>
      </c>
      <c r="V39" s="43">
        <f t="shared" si="52"/>
        <v>-6774</v>
      </c>
      <c r="W39" s="43">
        <f t="shared" si="52"/>
        <v>-12877</v>
      </c>
      <c r="X39" s="43">
        <f t="shared" si="52"/>
        <v>5320</v>
      </c>
      <c r="Y39" s="43">
        <f t="shared" si="52"/>
        <v>24615</v>
      </c>
      <c r="Z39" s="43">
        <f t="shared" si="52"/>
        <v>9380</v>
      </c>
      <c r="AA39" s="43">
        <f t="shared" si="52"/>
        <v>25819.591209999999</v>
      </c>
      <c r="AB39" s="43">
        <f t="shared" ref="AB39:AC39" si="53">-SUM(AB22:AB23)</f>
        <v>23320.591209999999</v>
      </c>
      <c r="AC39" s="43">
        <f t="shared" si="53"/>
        <v>15338.591209999999</v>
      </c>
    </row>
    <row r="40" spans="3:29" ht="15" thickBot="1" x14ac:dyDescent="0.35">
      <c r="C40" s="22" t="s">
        <v>70</v>
      </c>
      <c r="D40" s="22"/>
      <c r="E40" s="24">
        <v>10363</v>
      </c>
      <c r="F40" s="24">
        <f>20426-E40</f>
        <v>10063</v>
      </c>
      <c r="G40" s="24">
        <f>32164-F40-E40</f>
        <v>11738</v>
      </c>
      <c r="H40" s="24">
        <f>43116-G40-F40-E40</f>
        <v>10952</v>
      </c>
      <c r="I40" s="24">
        <v>13005</v>
      </c>
      <c r="J40" s="24">
        <f>27464-I40</f>
        <v>14459</v>
      </c>
      <c r="K40" s="24">
        <f>42397-J40-I40</f>
        <v>14933</v>
      </c>
      <c r="L40" s="24">
        <f>58392-K40-J40-I40</f>
        <v>15995</v>
      </c>
      <c r="M40" s="24">
        <v>16491</v>
      </c>
      <c r="N40" s="24">
        <f>33367-M40</f>
        <v>16876</v>
      </c>
      <c r="O40" s="24">
        <f>50956-N40-M40</f>
        <v>17589</v>
      </c>
      <c r="P40" s="24">
        <f>69871-O40-N40-M40</f>
        <v>18915</v>
      </c>
      <c r="Q40" s="28"/>
      <c r="R40" s="24">
        <f>SUM($E40:E40)</f>
        <v>10363</v>
      </c>
      <c r="S40" s="24">
        <f>SUM($E40:F40)</f>
        <v>20426</v>
      </c>
      <c r="T40" s="24">
        <f>SUM($E40:G40)</f>
        <v>32164</v>
      </c>
      <c r="U40" s="24">
        <f>SUM($E40:H40)</f>
        <v>43116</v>
      </c>
      <c r="V40" s="24">
        <f>SUM($I40:I40)</f>
        <v>13005</v>
      </c>
      <c r="W40" s="45">
        <f>SUM($I40:J40)</f>
        <v>27464</v>
      </c>
      <c r="X40" s="45">
        <f>SUM($I40:K40)</f>
        <v>42397</v>
      </c>
      <c r="Y40" s="45">
        <f>SUM($I40:L40)</f>
        <v>58392</v>
      </c>
      <c r="Z40" s="45">
        <f>M40</f>
        <v>16491</v>
      </c>
      <c r="AA40" s="45">
        <f>SUM(M40:N40)</f>
        <v>33367</v>
      </c>
      <c r="AB40" s="45">
        <f>SUM(N40:O40)</f>
        <v>34465</v>
      </c>
      <c r="AC40" s="45">
        <f>SUM(O40:P40)</f>
        <v>36504</v>
      </c>
    </row>
    <row r="41" spans="3:29" s="5" customFormat="1" ht="15" thickTop="1" x14ac:dyDescent="0.3">
      <c r="C41" s="11" t="s">
        <v>179</v>
      </c>
      <c r="D41" s="11"/>
      <c r="E41" s="27">
        <f t="shared" ref="E41:M41" si="54">SUM(E37:E40)</f>
        <v>34258</v>
      </c>
      <c r="F41" s="27">
        <f t="shared" si="54"/>
        <v>72907</v>
      </c>
      <c r="G41" s="27">
        <f t="shared" si="54"/>
        <v>62573</v>
      </c>
      <c r="H41" s="27">
        <f t="shared" si="54"/>
        <v>52991</v>
      </c>
      <c r="I41" s="27">
        <f t="shared" si="54"/>
        <v>34944</v>
      </c>
      <c r="J41" s="27">
        <f t="shared" si="54"/>
        <v>34831</v>
      </c>
      <c r="K41" s="27">
        <f t="shared" si="54"/>
        <v>127131</v>
      </c>
      <c r="L41" s="27">
        <f t="shared" si="54"/>
        <v>131871</v>
      </c>
      <c r="M41" s="27">
        <f t="shared" si="54"/>
        <v>88451</v>
      </c>
      <c r="N41" s="27">
        <f>SUM(N37:N40)</f>
        <v>122057.73360999998</v>
      </c>
      <c r="O41" s="27">
        <f>SUM(O37:O40)</f>
        <v>104793</v>
      </c>
      <c r="P41" s="27">
        <f>SUM(P37:P40)</f>
        <v>129175.2386500001</v>
      </c>
      <c r="Q41" s="11"/>
      <c r="R41" s="27">
        <f t="shared" ref="R41:Y41" si="55">SUM(R37:R40)</f>
        <v>34258</v>
      </c>
      <c r="S41" s="27">
        <f t="shared" si="55"/>
        <v>107165</v>
      </c>
      <c r="T41" s="27">
        <f t="shared" si="55"/>
        <v>169738</v>
      </c>
      <c r="U41" s="27">
        <f t="shared" si="55"/>
        <v>222729</v>
      </c>
      <c r="V41" s="27">
        <f t="shared" si="55"/>
        <v>34944</v>
      </c>
      <c r="W41" s="27">
        <f t="shared" si="55"/>
        <v>69775</v>
      </c>
      <c r="X41" s="27">
        <f t="shared" si="55"/>
        <v>196906</v>
      </c>
      <c r="Y41" s="27">
        <f t="shared" si="55"/>
        <v>328777</v>
      </c>
      <c r="Z41" s="27">
        <f t="shared" ref="Z41:AA41" si="56">SUM(Z37:Z40)</f>
        <v>88451</v>
      </c>
      <c r="AA41" s="27">
        <f t="shared" si="56"/>
        <v>210508.73361</v>
      </c>
      <c r="AB41" s="27">
        <f>SUM(AB37:AB40)</f>
        <v>298810.73361</v>
      </c>
      <c r="AC41" s="27">
        <f>SUM(AC37:AC40)</f>
        <v>411109.97226000053</v>
      </c>
    </row>
    <row r="43" spans="3:29" x14ac:dyDescent="0.3">
      <c r="C43" s="11" t="s">
        <v>72</v>
      </c>
    </row>
    <row r="44" spans="3:29" x14ac:dyDescent="0.3">
      <c r="C44" s="14" t="s">
        <v>73</v>
      </c>
      <c r="D44" s="14"/>
      <c r="E44" s="46">
        <f t="shared" ref="E44:N44" si="57">IFERROR(E7/E$5,"")</f>
        <v>0.16064913877772605</v>
      </c>
      <c r="F44" s="46">
        <f t="shared" si="57"/>
        <v>0.18382195172033508</v>
      </c>
      <c r="G44" s="46">
        <f t="shared" si="57"/>
        <v>0.15664462968285905</v>
      </c>
      <c r="H44" s="46">
        <f t="shared" si="57"/>
        <v>0.13788794424473527</v>
      </c>
      <c r="I44" s="46">
        <f t="shared" si="57"/>
        <v>0.13383156568257992</v>
      </c>
      <c r="J44" s="46">
        <f t="shared" si="57"/>
        <v>0.14377844762985612</v>
      </c>
      <c r="K44" s="46">
        <f t="shared" si="57"/>
        <v>0.16930691726865904</v>
      </c>
      <c r="L44" s="46">
        <f t="shared" si="57"/>
        <v>0.16299550428017162</v>
      </c>
      <c r="M44" s="46">
        <f t="shared" si="57"/>
        <v>0.15980745726150794</v>
      </c>
      <c r="N44" s="46">
        <f t="shared" si="57"/>
        <v>0.14464850806712995</v>
      </c>
      <c r="O44" s="46">
        <f t="shared" ref="O44:P44" si="58">IFERROR(O7/O$5,"")</f>
        <v>0.15025600547341383</v>
      </c>
      <c r="P44" s="46">
        <f t="shared" si="58"/>
        <v>0.15868861793332334</v>
      </c>
      <c r="R44" s="46">
        <f t="shared" ref="R44:AA44" si="59">IFERROR(R7/R$5,"")</f>
        <v>0.16064913877772605</v>
      </c>
      <c r="S44" s="46">
        <f t="shared" si="59"/>
        <v>0.17327674051518155</v>
      </c>
      <c r="T44" s="46">
        <f t="shared" si="59"/>
        <v>0.16710189165763215</v>
      </c>
      <c r="U44" s="46">
        <f t="shared" si="59"/>
        <v>0.15780415927589228</v>
      </c>
      <c r="V44" s="46">
        <f t="shared" si="59"/>
        <v>0.13383156568257992</v>
      </c>
      <c r="W44" s="46">
        <f t="shared" si="59"/>
        <v>0.13879071533085224</v>
      </c>
      <c r="X44" s="46">
        <f t="shared" si="59"/>
        <v>0.1527374044043858</v>
      </c>
      <c r="Y44" s="46">
        <f t="shared" si="59"/>
        <v>0.1563351193552957</v>
      </c>
      <c r="Z44" s="46">
        <f t="shared" si="59"/>
        <v>0.15980745726150794</v>
      </c>
      <c r="AA44" s="46">
        <f t="shared" si="59"/>
        <v>0.15108647541987091</v>
      </c>
      <c r="AB44" s="46">
        <f t="shared" ref="AB44:AC44" si="60">IFERROR(AB7/AB$5,"")</f>
        <v>0.15079619633065333</v>
      </c>
      <c r="AC44" s="46">
        <f t="shared" si="60"/>
        <v>0.15315647138089114</v>
      </c>
    </row>
    <row r="45" spans="3:29" x14ac:dyDescent="0.3">
      <c r="C45" s="14" t="s">
        <v>74</v>
      </c>
      <c r="D45" s="14"/>
      <c r="E45" s="46">
        <f>IFERROR(E41/E$5,"")</f>
        <v>4.7323366205607578E-2</v>
      </c>
      <c r="F45" s="46">
        <f t="shared" ref="F45:L45" si="61">IFERROR(F41/F$5,"")</f>
        <v>8.410411759141552E-2</v>
      </c>
      <c r="G45" s="46">
        <f t="shared" si="61"/>
        <v>6.6614501825769432E-2</v>
      </c>
      <c r="H45" s="46">
        <f t="shared" si="61"/>
        <v>4.4863448028297559E-2</v>
      </c>
      <c r="I45" s="46">
        <f t="shared" si="61"/>
        <v>4.1858225385652918E-2</v>
      </c>
      <c r="J45" s="46">
        <f t="shared" si="61"/>
        <v>4.196334126071944E-2</v>
      </c>
      <c r="K45" s="46">
        <f t="shared" si="61"/>
        <v>9.0722383697073972E-2</v>
      </c>
      <c r="L45" s="46">
        <f t="shared" si="61"/>
        <v>7.962061099766822E-2</v>
      </c>
      <c r="M45" s="46">
        <f t="shared" ref="M45:N45" si="62">IFERROR(M41/M$5,"")</f>
        <v>7.8453094538236248E-2</v>
      </c>
      <c r="N45" s="46">
        <f t="shared" si="62"/>
        <v>7.9920100422524967E-2</v>
      </c>
      <c r="O45" s="46">
        <f t="shared" ref="O45:P45" si="63">IFERROR(O41/O$5,"")</f>
        <v>7.3459971455249518E-2</v>
      </c>
      <c r="P45" s="46">
        <f t="shared" si="63"/>
        <v>7.4185776444134932E-2</v>
      </c>
      <c r="R45" s="46">
        <f t="shared" ref="R45:Y45" si="64">IFERROR(R41/R$5,"")</f>
        <v>4.7323366205607578E-2</v>
      </c>
      <c r="S45" s="46">
        <f t="shared" si="64"/>
        <v>6.73663657868252E-2</v>
      </c>
      <c r="T45" s="46">
        <f t="shared" si="64"/>
        <v>6.70872282577549E-2</v>
      </c>
      <c r="U45" s="46">
        <f t="shared" si="64"/>
        <v>6.0014210764991291E-2</v>
      </c>
      <c r="V45" s="46">
        <f t="shared" si="64"/>
        <v>4.1858225385652918E-2</v>
      </c>
      <c r="W45" s="46">
        <f t="shared" si="64"/>
        <v>4.1910632296444365E-2</v>
      </c>
      <c r="X45" s="46">
        <f t="shared" si="64"/>
        <v>6.4218857982806563E-2</v>
      </c>
      <c r="Y45" s="46">
        <f t="shared" si="64"/>
        <v>6.9620552035580111E-2</v>
      </c>
      <c r="Z45" s="46">
        <f t="shared" ref="Z45:AA45" si="65">IFERROR(Z41/Z$5,"")</f>
        <v>7.8453094538236248E-2</v>
      </c>
      <c r="AA45" s="46">
        <f t="shared" si="65"/>
        <v>7.9297066736731481E-2</v>
      </c>
      <c r="AB45" s="46">
        <f t="shared" ref="AB45:AC45" si="66">IFERROR(AB41/AB$5,"")</f>
        <v>7.3216085694536706E-2</v>
      </c>
      <c r="AC45" s="46">
        <f t="shared" si="66"/>
        <v>7.0607644651411824E-2</v>
      </c>
    </row>
    <row r="46" spans="3:29" x14ac:dyDescent="0.3">
      <c r="C46" s="14" t="s">
        <v>75</v>
      </c>
      <c r="D46" s="14"/>
      <c r="E46" s="46">
        <f>IFERROR(E24/E$5,"")</f>
        <v>1.3867688520581893E-2</v>
      </c>
      <c r="F46" s="46">
        <f t="shared" ref="F46:L46" si="67">IFERROR(F24/F$5,"")</f>
        <v>4.0438776004595868E-2</v>
      </c>
      <c r="G46" s="46">
        <f t="shared" si="67"/>
        <v>2.7002224990152555E-2</v>
      </c>
      <c r="H46" s="46">
        <f t="shared" si="67"/>
        <v>2.5544336847951425E-2</v>
      </c>
      <c r="I46" s="46">
        <f t="shared" si="67"/>
        <v>1.1089842336892593E-2</v>
      </c>
      <c r="J46" s="46">
        <f t="shared" si="67"/>
        <v>1.0088743352681938E-2</v>
      </c>
      <c r="K46" s="46">
        <f t="shared" si="67"/>
        <v>5.4980343519212972E-2</v>
      </c>
      <c r="L46" s="46">
        <f t="shared" si="67"/>
        <v>4.4056363743945628E-2</v>
      </c>
      <c r="M46" s="46">
        <f t="shared" ref="M46:N46" si="68">IFERROR(M24/M$5,"")</f>
        <v>4.1127760462216105E-2</v>
      </c>
      <c r="N46" s="46">
        <f t="shared" si="68"/>
        <v>4.8652729957891543E-2</v>
      </c>
      <c r="O46" s="46">
        <f t="shared" ref="O46:P46" si="69">IFERROR(O24/O$5,"")</f>
        <v>4.3769785746131176E-2</v>
      </c>
      <c r="P46" s="46">
        <f t="shared" si="69"/>
        <v>4.1501299444509566E-2</v>
      </c>
      <c r="R46" s="46">
        <f t="shared" ref="R46:Y46" si="70">IFERROR(R24/R$5,"")</f>
        <v>1.3867688520581893E-2</v>
      </c>
      <c r="S46" s="46">
        <f t="shared" si="70"/>
        <v>2.8347117984333463E-2</v>
      </c>
      <c r="T46" s="46">
        <f t="shared" si="70"/>
        <v>2.7847812090309152E-2</v>
      </c>
      <c r="U46" s="46">
        <f t="shared" si="70"/>
        <v>2.7114700058281919E-2</v>
      </c>
      <c r="V46" s="46">
        <f t="shared" si="70"/>
        <v>1.1089842336892593E-2</v>
      </c>
      <c r="W46" s="46">
        <f t="shared" si="70"/>
        <v>1.0590731188117623E-2</v>
      </c>
      <c r="X46" s="46">
        <f t="shared" si="70"/>
        <v>3.0877925595147824E-2</v>
      </c>
      <c r="Y46" s="46">
        <f t="shared" si="70"/>
        <v>3.5499859923306155E-2</v>
      </c>
      <c r="Z46" s="46">
        <f t="shared" ref="Z46:AA46" si="71">IFERROR(Z24/Z$5,"")</f>
        <v>4.1127760462216105E-2</v>
      </c>
      <c r="AA46" s="46">
        <f t="shared" si="71"/>
        <v>4.545689446017135E-2</v>
      </c>
      <c r="AB46" s="46">
        <f t="shared" ref="AB46:AC46" si="72">IFERROR(AB24/AB$5,"")</f>
        <v>4.4867189338376266E-2</v>
      </c>
      <c r="AC46" s="46">
        <f t="shared" si="72"/>
        <v>4.3860600190166965E-2</v>
      </c>
    </row>
  </sheetData>
  <mergeCells count="2">
    <mergeCell ref="E2:P2"/>
    <mergeCell ref="R2:AC2"/>
  </mergeCells>
  <hyperlinks>
    <hyperlink ref="P1" location="Indice!A1" display="Voltar" xr:uid="{61E713D9-6A01-4F04-93D8-2DF520D58366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24" formula="1"/>
    <ignoredError sqref="S5:V23 W5:Z25 O31:P31 AA27:AA32 AA10:AA13 AA5:AA6 AA17:AA25 AB5:AB46 N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59CC-5852-48AF-AB43-37A83CA1F70C}">
  <dimension ref="A1:G72"/>
  <sheetViews>
    <sheetView showGridLines="0" zoomScale="85" zoomScaleNormal="85" workbookViewId="0">
      <pane xSplit="4" ySplit="3" topLeftCell="E43" activePane="bottomRight" state="frozen"/>
      <selection activeCell="G17" sqref="G17"/>
      <selection pane="topRight" activeCell="G17" sqref="G17"/>
      <selection pane="bottomLeft" activeCell="G17" sqref="G17"/>
      <selection pane="bottomRight" activeCell="C2" sqref="C2"/>
    </sheetView>
  </sheetViews>
  <sheetFormatPr defaultRowHeight="14.4" x14ac:dyDescent="0.3"/>
  <cols>
    <col min="3" max="3" width="68.77734375" style="7" customWidth="1"/>
    <col min="4" max="4" width="9.109375" style="7"/>
    <col min="5" max="5" width="12.109375" style="7" customWidth="1"/>
    <col min="6" max="6" width="9.109375" style="7" customWidth="1"/>
    <col min="7" max="7" width="9.109375" style="7"/>
  </cols>
  <sheetData>
    <row r="1" spans="3:6" x14ac:dyDescent="0.3">
      <c r="F1" s="30" t="s">
        <v>62</v>
      </c>
    </row>
    <row r="2" spans="3:6" x14ac:dyDescent="0.3">
      <c r="C2" s="1" t="s">
        <v>95</v>
      </c>
      <c r="D2" s="1"/>
      <c r="E2" s="70"/>
      <c r="F2" s="70"/>
    </row>
    <row r="3" spans="3:6" x14ac:dyDescent="0.3">
      <c r="C3" s="6"/>
      <c r="D3" s="6"/>
      <c r="E3" s="6" t="s">
        <v>196</v>
      </c>
      <c r="F3" s="6" t="s">
        <v>197</v>
      </c>
    </row>
    <row r="4" spans="3:6" x14ac:dyDescent="0.3">
      <c r="E4" s="8"/>
    </row>
    <row r="5" spans="3:6" x14ac:dyDescent="0.3">
      <c r="C5" s="69" t="s">
        <v>102</v>
      </c>
      <c r="D5" s="9"/>
      <c r="E5" s="10">
        <v>192260</v>
      </c>
      <c r="F5" s="10">
        <v>311859</v>
      </c>
    </row>
    <row r="6" spans="3:6" x14ac:dyDescent="0.3">
      <c r="C6" s="69" t="s">
        <v>104</v>
      </c>
      <c r="D6" s="9"/>
      <c r="E6" s="10">
        <v>58392</v>
      </c>
      <c r="F6" s="10">
        <v>69871</v>
      </c>
    </row>
    <row r="7" spans="3:6" x14ac:dyDescent="0.3">
      <c r="C7" s="69" t="s">
        <v>24</v>
      </c>
      <c r="D7" s="9"/>
      <c r="E7" s="10">
        <v>47841</v>
      </c>
      <c r="F7" s="10">
        <v>49627</v>
      </c>
    </row>
    <row r="8" spans="3:6" x14ac:dyDescent="0.3">
      <c r="C8" s="69" t="s">
        <v>105</v>
      </c>
      <c r="D8" s="9"/>
      <c r="E8" s="10">
        <v>47578</v>
      </c>
      <c r="F8" s="10">
        <v>7784</v>
      </c>
    </row>
    <row r="9" spans="3:6" x14ac:dyDescent="0.3">
      <c r="C9" s="69" t="s">
        <v>106</v>
      </c>
      <c r="D9" s="9"/>
      <c r="E9" s="10">
        <v>5325</v>
      </c>
      <c r="F9" s="10">
        <v>3187</v>
      </c>
    </row>
    <row r="10" spans="3:6" x14ac:dyDescent="0.3">
      <c r="C10" s="69" t="s">
        <v>107</v>
      </c>
      <c r="D10" s="9"/>
      <c r="E10" s="10">
        <v>-1231</v>
      </c>
      <c r="F10" s="10">
        <v>95024</v>
      </c>
    </row>
    <row r="11" spans="3:6" x14ac:dyDescent="0.3">
      <c r="C11" s="69" t="s">
        <v>108</v>
      </c>
      <c r="D11" s="9"/>
      <c r="E11" s="10">
        <v>892</v>
      </c>
      <c r="F11" s="10">
        <v>665</v>
      </c>
    </row>
    <row r="12" spans="3:6" x14ac:dyDescent="0.3">
      <c r="C12" s="69" t="s">
        <v>109</v>
      </c>
      <c r="D12" s="9"/>
      <c r="E12" s="10"/>
      <c r="F12" s="10"/>
    </row>
    <row r="13" spans="3:6" x14ac:dyDescent="0.3">
      <c r="C13" s="69" t="s">
        <v>110</v>
      </c>
      <c r="D13" s="9"/>
      <c r="E13" s="10">
        <v>19727</v>
      </c>
      <c r="F13" s="10">
        <v>25241</v>
      </c>
    </row>
    <row r="14" spans="3:6" x14ac:dyDescent="0.3">
      <c r="C14" s="69" t="s">
        <v>111</v>
      </c>
      <c r="D14" s="9"/>
      <c r="E14" s="10">
        <v>12672</v>
      </c>
      <c r="F14" s="10">
        <v>13634</v>
      </c>
    </row>
    <row r="15" spans="3:6" x14ac:dyDescent="0.3">
      <c r="C15" s="69" t="s">
        <v>112</v>
      </c>
      <c r="D15" s="9"/>
      <c r="E15" s="10"/>
      <c r="F15" s="10">
        <v>0</v>
      </c>
    </row>
    <row r="16" spans="3:6" x14ac:dyDescent="0.3">
      <c r="C16" s="69" t="s">
        <v>113</v>
      </c>
      <c r="D16" s="9"/>
      <c r="E16" s="10">
        <v>2056</v>
      </c>
      <c r="F16" s="10">
        <v>2057</v>
      </c>
    </row>
    <row r="17" spans="3:6" x14ac:dyDescent="0.3">
      <c r="C17" s="69" t="s">
        <v>114</v>
      </c>
      <c r="D17" s="9"/>
      <c r="E17" s="10">
        <v>735</v>
      </c>
      <c r="F17" s="10">
        <v>2052</v>
      </c>
    </row>
    <row r="18" spans="3:6" x14ac:dyDescent="0.3">
      <c r="C18" s="69" t="s">
        <v>115</v>
      </c>
      <c r="D18" s="9"/>
      <c r="E18" s="10">
        <v>-13218</v>
      </c>
      <c r="F18" s="10">
        <v>-1840</v>
      </c>
    </row>
    <row r="19" spans="3:6" x14ac:dyDescent="0.3">
      <c r="C19" s="69" t="s">
        <v>185</v>
      </c>
      <c r="D19" s="9"/>
      <c r="E19" s="10"/>
      <c r="F19" s="10">
        <v>-4857</v>
      </c>
    </row>
    <row r="20" spans="3:6" x14ac:dyDescent="0.3">
      <c r="C20" s="69" t="s">
        <v>161</v>
      </c>
      <c r="D20" s="9"/>
      <c r="E20" s="10"/>
      <c r="F20" s="10">
        <v>61</v>
      </c>
    </row>
    <row r="21" spans="3:6" x14ac:dyDescent="0.3">
      <c r="C21" s="69"/>
      <c r="D21" s="9"/>
      <c r="E21" s="10"/>
      <c r="F21" s="10"/>
    </row>
    <row r="22" spans="3:6" x14ac:dyDescent="0.3">
      <c r="C22" s="69" t="s">
        <v>116</v>
      </c>
      <c r="D22" s="9"/>
      <c r="E22" s="10"/>
      <c r="F22" s="10"/>
    </row>
    <row r="23" spans="3:6" x14ac:dyDescent="0.3">
      <c r="C23" s="69" t="s">
        <v>11</v>
      </c>
      <c r="D23" s="9"/>
      <c r="E23" s="10">
        <v>-211080</v>
      </c>
      <c r="F23" s="10">
        <v>-1892</v>
      </c>
    </row>
    <row r="24" spans="3:6" x14ac:dyDescent="0.3">
      <c r="C24" s="69" t="s">
        <v>12</v>
      </c>
      <c r="D24" s="9"/>
      <c r="E24" s="10">
        <v>-225448</v>
      </c>
      <c r="F24" s="10">
        <v>-247965</v>
      </c>
    </row>
    <row r="25" spans="3:6" x14ac:dyDescent="0.3">
      <c r="C25" s="69" t="s">
        <v>13</v>
      </c>
      <c r="D25" s="9"/>
      <c r="E25" s="10">
        <v>4673</v>
      </c>
      <c r="F25" s="10">
        <v>-100786</v>
      </c>
    </row>
    <row r="26" spans="3:6" x14ac:dyDescent="0.3">
      <c r="C26" s="69" t="s">
        <v>14</v>
      </c>
      <c r="D26" s="9"/>
      <c r="E26" s="10">
        <v>-1621</v>
      </c>
      <c r="F26" s="10">
        <v>2426</v>
      </c>
    </row>
    <row r="27" spans="3:6" x14ac:dyDescent="0.3">
      <c r="C27" s="69" t="s">
        <v>15</v>
      </c>
      <c r="D27" s="9"/>
      <c r="E27" s="10">
        <v>-28695</v>
      </c>
      <c r="F27" s="10">
        <v>-134247</v>
      </c>
    </row>
    <row r="28" spans="3:6" x14ac:dyDescent="0.3">
      <c r="C28" s="69" t="s">
        <v>117</v>
      </c>
      <c r="D28" s="9"/>
      <c r="E28" s="10"/>
      <c r="F28" s="10"/>
    </row>
    <row r="29" spans="3:6" x14ac:dyDescent="0.3">
      <c r="C29" s="69" t="s">
        <v>118</v>
      </c>
      <c r="D29" s="9"/>
      <c r="E29" s="10"/>
      <c r="F29" s="10"/>
    </row>
    <row r="30" spans="3:6" x14ac:dyDescent="0.3">
      <c r="C30" s="69" t="s">
        <v>23</v>
      </c>
      <c r="D30" s="9"/>
      <c r="E30" s="10">
        <v>183632</v>
      </c>
      <c r="F30" s="10">
        <v>7262</v>
      </c>
    </row>
    <row r="31" spans="3:6" x14ac:dyDescent="0.3">
      <c r="C31" s="69" t="s">
        <v>24</v>
      </c>
      <c r="D31" s="9"/>
      <c r="E31" s="10"/>
      <c r="F31" s="10">
        <v>0</v>
      </c>
    </row>
    <row r="32" spans="3:6" x14ac:dyDescent="0.3">
      <c r="C32" s="69" t="s">
        <v>27</v>
      </c>
      <c r="D32" s="9"/>
      <c r="E32" s="10">
        <v>2238</v>
      </c>
      <c r="F32" s="10">
        <v>-558</v>
      </c>
    </row>
    <row r="33" spans="3:7" x14ac:dyDescent="0.3">
      <c r="C33" s="69" t="s">
        <v>28</v>
      </c>
      <c r="D33" s="9"/>
      <c r="E33" s="10">
        <v>-367</v>
      </c>
      <c r="F33" s="10">
        <v>10454</v>
      </c>
    </row>
    <row r="34" spans="3:7" x14ac:dyDescent="0.3">
      <c r="C34" s="69" t="s">
        <v>29</v>
      </c>
      <c r="D34" s="9"/>
      <c r="E34" s="10">
        <v>169</v>
      </c>
      <c r="F34" s="10">
        <v>21996</v>
      </c>
    </row>
    <row r="35" spans="3:7" x14ac:dyDescent="0.3">
      <c r="C35" s="69" t="s">
        <v>14</v>
      </c>
      <c r="D35" s="9"/>
      <c r="E35" s="10"/>
      <c r="F35" s="10">
        <v>0</v>
      </c>
    </row>
    <row r="36" spans="3:7" x14ac:dyDescent="0.3">
      <c r="C36" s="69" t="s">
        <v>31</v>
      </c>
      <c r="D36" s="9"/>
      <c r="E36" s="10">
        <v>101</v>
      </c>
      <c r="F36" s="10">
        <v>4518</v>
      </c>
    </row>
    <row r="37" spans="3:7" ht="15" thickBot="1" x14ac:dyDescent="0.35">
      <c r="C37" s="22" t="s">
        <v>119</v>
      </c>
      <c r="D37" s="22"/>
      <c r="E37" s="23">
        <v>-32</v>
      </c>
      <c r="F37" s="23">
        <v>-11354</v>
      </c>
    </row>
    <row r="38" spans="3:7" s="5" customFormat="1" ht="15" thickTop="1" x14ac:dyDescent="0.3">
      <c r="C38" s="11" t="s">
        <v>96</v>
      </c>
      <c r="D38" s="11"/>
      <c r="E38" s="12">
        <f t="shared" ref="E38:F38" si="0">SUM(E5:E37)</f>
        <v>96599</v>
      </c>
      <c r="F38" s="12">
        <f t="shared" si="0"/>
        <v>124219</v>
      </c>
      <c r="G38" s="11"/>
    </row>
    <row r="39" spans="3:7" x14ac:dyDescent="0.3">
      <c r="E39" s="13"/>
      <c r="F39" s="13"/>
    </row>
    <row r="40" spans="3:7" x14ac:dyDescent="0.3">
      <c r="C40" s="9" t="s">
        <v>120</v>
      </c>
      <c r="D40" s="9"/>
      <c r="E40" s="10">
        <v>-57446</v>
      </c>
      <c r="F40" s="10">
        <v>-38661</v>
      </c>
    </row>
    <row r="41" spans="3:7" x14ac:dyDescent="0.3">
      <c r="C41" s="9" t="s">
        <v>121</v>
      </c>
      <c r="D41" s="9"/>
      <c r="E41" s="10">
        <v>423</v>
      </c>
      <c r="F41" s="10">
        <v>2186</v>
      </c>
    </row>
    <row r="42" spans="3:7" x14ac:dyDescent="0.3">
      <c r="C42" s="9" t="s">
        <v>133</v>
      </c>
      <c r="D42" s="9"/>
      <c r="E42" s="10">
        <v>2000</v>
      </c>
      <c r="F42" s="10"/>
    </row>
    <row r="43" spans="3:7" x14ac:dyDescent="0.3">
      <c r="C43" s="9" t="s">
        <v>122</v>
      </c>
      <c r="D43" s="9"/>
      <c r="E43" s="10"/>
      <c r="F43" s="10"/>
    </row>
    <row r="44" spans="3:7" x14ac:dyDescent="0.3">
      <c r="C44" s="9" t="s">
        <v>123</v>
      </c>
      <c r="D44" s="9"/>
      <c r="E44" s="10"/>
      <c r="F44" s="10"/>
    </row>
    <row r="45" spans="3:7" ht="15" thickBot="1" x14ac:dyDescent="0.35">
      <c r="C45" s="22" t="s">
        <v>124</v>
      </c>
      <c r="D45" s="22"/>
      <c r="E45" s="23"/>
      <c r="F45" s="23">
        <v>161</v>
      </c>
    </row>
    <row r="46" spans="3:7" s="5" customFormat="1" ht="15" thickTop="1" x14ac:dyDescent="0.3">
      <c r="C46" s="11" t="s">
        <v>97</v>
      </c>
      <c r="D46" s="11"/>
      <c r="E46" s="12">
        <f t="shared" ref="E46:F46" si="1">SUM(E40:E45)</f>
        <v>-55023</v>
      </c>
      <c r="F46" s="12">
        <f t="shared" si="1"/>
        <v>-36314</v>
      </c>
      <c r="G46" s="11"/>
    </row>
    <row r="47" spans="3:7" x14ac:dyDescent="0.3">
      <c r="C47" s="20"/>
      <c r="D47" s="20"/>
      <c r="E47" s="21"/>
      <c r="F47" s="21"/>
    </row>
    <row r="48" spans="3:7" x14ac:dyDescent="0.3">
      <c r="C48" s="9" t="s">
        <v>125</v>
      </c>
      <c r="D48" s="9"/>
      <c r="E48" s="10">
        <v>32463</v>
      </c>
      <c r="F48" s="10">
        <v>35706</v>
      </c>
    </row>
    <row r="49" spans="1:7" x14ac:dyDescent="0.3">
      <c r="C49" s="9" t="s">
        <v>191</v>
      </c>
      <c r="D49" s="9"/>
      <c r="E49" s="10">
        <v>230164</v>
      </c>
      <c r="F49" s="10">
        <v>295985</v>
      </c>
    </row>
    <row r="50" spans="1:7" x14ac:dyDescent="0.3">
      <c r="C50" s="9" t="s">
        <v>126</v>
      </c>
      <c r="D50" s="9"/>
      <c r="E50" s="10">
        <v>-93492</v>
      </c>
      <c r="F50" s="10">
        <v>-88228</v>
      </c>
    </row>
    <row r="51" spans="1:7" x14ac:dyDescent="0.3">
      <c r="C51" s="9" t="s">
        <v>113</v>
      </c>
      <c r="D51" s="9"/>
      <c r="E51" s="10">
        <v>-322</v>
      </c>
      <c r="F51" s="10">
        <v>0</v>
      </c>
    </row>
    <row r="52" spans="1:7" x14ac:dyDescent="0.3">
      <c r="C52" s="9" t="s">
        <v>127</v>
      </c>
      <c r="D52" s="9"/>
      <c r="E52" s="10">
        <v>-19748</v>
      </c>
      <c r="F52" s="10">
        <v>-22301</v>
      </c>
    </row>
    <row r="53" spans="1:7" x14ac:dyDescent="0.3">
      <c r="C53" s="9" t="s">
        <v>128</v>
      </c>
      <c r="D53" s="9"/>
      <c r="E53" s="10">
        <v>-734</v>
      </c>
      <c r="F53" s="10">
        <v>-424</v>
      </c>
    </row>
    <row r="54" spans="1:7" x14ac:dyDescent="0.3">
      <c r="C54" s="9" t="s">
        <v>129</v>
      </c>
      <c r="D54" s="9"/>
      <c r="E54" s="10">
        <v>-27716</v>
      </c>
      <c r="F54" s="10">
        <v>-34341</v>
      </c>
    </row>
    <row r="55" spans="1:7" x14ac:dyDescent="0.3">
      <c r="C55" s="9" t="s">
        <v>130</v>
      </c>
      <c r="D55" s="9"/>
      <c r="E55" s="10"/>
      <c r="F55" s="10">
        <v>0</v>
      </c>
    </row>
    <row r="56" spans="1:7" x14ac:dyDescent="0.3">
      <c r="C56" s="9" t="s">
        <v>195</v>
      </c>
      <c r="D56" s="9"/>
      <c r="E56" s="10">
        <v>-25578</v>
      </c>
      <c r="F56" s="10">
        <v>-21202</v>
      </c>
    </row>
    <row r="57" spans="1:7" ht="15" thickBot="1" x14ac:dyDescent="0.35">
      <c r="C57" s="22" t="s">
        <v>135</v>
      </c>
      <c r="D57" s="22"/>
      <c r="E57" s="24">
        <v>-32610</v>
      </c>
      <c r="F57" s="24">
        <v>-7478</v>
      </c>
    </row>
    <row r="58" spans="1:7" s="5" customFormat="1" ht="15" thickTop="1" x14ac:dyDescent="0.3">
      <c r="C58" s="11" t="s">
        <v>98</v>
      </c>
      <c r="D58" s="11"/>
      <c r="E58" s="12">
        <f>SUM(E48:E57)</f>
        <v>62427</v>
      </c>
      <c r="F58" s="12">
        <f>SUM(F48:F57)</f>
        <v>157717</v>
      </c>
      <c r="G58" s="11"/>
    </row>
    <row r="60" spans="1:7" s="71" customFormat="1" x14ac:dyDescent="0.3">
      <c r="A60"/>
      <c r="B60"/>
      <c r="C60" s="9" t="s">
        <v>136</v>
      </c>
      <c r="D60" s="9"/>
      <c r="E60" s="10"/>
      <c r="F60" s="10">
        <v>235157</v>
      </c>
      <c r="G60" s="28"/>
    </row>
    <row r="61" spans="1:7" s="71" customFormat="1" x14ac:dyDescent="0.3">
      <c r="A61"/>
      <c r="B61"/>
      <c r="C61" s="9" t="s">
        <v>134</v>
      </c>
      <c r="D61" s="9"/>
      <c r="E61" s="10">
        <v>-937</v>
      </c>
      <c r="F61" s="10">
        <v>-113861</v>
      </c>
      <c r="G61" s="28"/>
    </row>
    <row r="62" spans="1:7" s="71" customFormat="1" x14ac:dyDescent="0.3">
      <c r="A62"/>
      <c r="B62"/>
      <c r="C62" s="9" t="s">
        <v>159</v>
      </c>
      <c r="D62" s="9"/>
      <c r="E62" s="10"/>
      <c r="F62" s="10">
        <v>0</v>
      </c>
      <c r="G62" s="28"/>
    </row>
    <row r="63" spans="1:7" s="71" customFormat="1" x14ac:dyDescent="0.3">
      <c r="A63"/>
      <c r="B63"/>
      <c r="C63" s="9" t="s">
        <v>131</v>
      </c>
      <c r="D63" s="9"/>
      <c r="E63" s="10">
        <v>-13020</v>
      </c>
      <c r="F63" s="10">
        <v>-15236</v>
      </c>
      <c r="G63" s="28"/>
    </row>
    <row r="64" spans="1:7" s="71" customFormat="1" ht="15" thickBot="1" x14ac:dyDescent="0.35">
      <c r="A64"/>
      <c r="B64"/>
      <c r="C64" s="22" t="s">
        <v>142</v>
      </c>
      <c r="D64" s="22"/>
      <c r="E64" s="24"/>
      <c r="F64" s="24">
        <v>-30</v>
      </c>
      <c r="G64" s="28"/>
    </row>
    <row r="65" spans="1:7" s="72" customFormat="1" ht="15" thickTop="1" x14ac:dyDescent="0.3">
      <c r="A65" s="5"/>
      <c r="B65" s="5"/>
      <c r="C65" s="11" t="s">
        <v>132</v>
      </c>
      <c r="D65" s="11"/>
      <c r="E65" s="12">
        <f>SUM(E60:E64)</f>
        <v>-13957</v>
      </c>
      <c r="F65" s="12">
        <f>SUM(F60:F64)</f>
        <v>106030</v>
      </c>
      <c r="G65" s="27"/>
    </row>
    <row r="66" spans="1:7" s="71" customFormat="1" x14ac:dyDescent="0.3">
      <c r="A66"/>
      <c r="B66"/>
      <c r="C66" s="7"/>
      <c r="D66" s="7"/>
      <c r="E66" s="28"/>
      <c r="F66" s="28"/>
      <c r="G66" s="28"/>
    </row>
    <row r="67" spans="1:7" s="71" customFormat="1" x14ac:dyDescent="0.3">
      <c r="A67"/>
      <c r="B67"/>
      <c r="C67" s="14" t="s">
        <v>99</v>
      </c>
      <c r="D67" s="14"/>
      <c r="E67" s="43">
        <v>292268</v>
      </c>
      <c r="F67" s="43">
        <v>382314</v>
      </c>
      <c r="G67" s="28"/>
    </row>
    <row r="68" spans="1:7" s="71" customFormat="1" x14ac:dyDescent="0.3">
      <c r="A68"/>
      <c r="B68"/>
      <c r="C68" s="14" t="s">
        <v>100</v>
      </c>
      <c r="D68" s="14"/>
      <c r="E68" s="43">
        <v>382314</v>
      </c>
      <c r="F68" s="43">
        <v>733966</v>
      </c>
      <c r="G68" s="28"/>
    </row>
    <row r="69" spans="1:7" s="72" customFormat="1" x14ac:dyDescent="0.3">
      <c r="A69" s="5"/>
      <c r="B69" s="5"/>
      <c r="C69" s="68" t="s">
        <v>101</v>
      </c>
      <c r="D69" s="68"/>
      <c r="E69" s="73">
        <f t="shared" ref="E69:F69" si="2">E68-E67</f>
        <v>90046</v>
      </c>
      <c r="F69" s="73">
        <f t="shared" si="2"/>
        <v>351652</v>
      </c>
      <c r="G69" s="27"/>
    </row>
    <row r="70" spans="1:7" s="71" customFormat="1" x14ac:dyDescent="0.3">
      <c r="A70"/>
      <c r="B70"/>
      <c r="C70" s="7" t="s">
        <v>39</v>
      </c>
      <c r="D70" s="7"/>
      <c r="E70" s="28">
        <f>E69-E65-E58-E46-E38</f>
        <v>0</v>
      </c>
      <c r="F70" s="28">
        <f>F69-F65-F58-F46-F38</f>
        <v>0</v>
      </c>
      <c r="G70" s="28"/>
    </row>
    <row r="72" spans="1:7" ht="93.6" customHeight="1" x14ac:dyDescent="0.3">
      <c r="C72" s="97" t="s">
        <v>198</v>
      </c>
    </row>
  </sheetData>
  <hyperlinks>
    <hyperlink ref="F1" location="Indice!A1" display="Voltar" xr:uid="{738F3A8E-50AC-49DA-A008-652B737EDCA9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W50"/>
  <sheetViews>
    <sheetView showGridLines="0" zoomScale="85" zoomScaleNormal="85" workbookViewId="0">
      <pane xSplit="7" topLeftCell="N1" activePane="topRight" state="frozen"/>
      <selection pane="topRight" activeCell="P13" sqref="P13"/>
    </sheetView>
  </sheetViews>
  <sheetFormatPr defaultRowHeight="14.4" x14ac:dyDescent="0.3"/>
  <cols>
    <col min="3" max="3" width="31.33203125" bestFit="1" customWidth="1"/>
    <col min="5" max="7" width="8.88671875" hidden="1" customWidth="1"/>
    <col min="8" max="9" width="10.44140625" bestFit="1" customWidth="1"/>
    <col min="10" max="10" width="10.5546875" bestFit="1" customWidth="1"/>
    <col min="11" max="11" width="10.44140625" bestFit="1" customWidth="1"/>
    <col min="12" max="12" width="9" bestFit="1" customWidth="1"/>
  </cols>
  <sheetData>
    <row r="1" spans="3:49" x14ac:dyDescent="0.3">
      <c r="C1" s="7"/>
      <c r="D1" s="7"/>
      <c r="E1" s="7"/>
      <c r="F1" s="7"/>
      <c r="G1" s="7"/>
      <c r="H1" s="7"/>
      <c r="I1" s="7"/>
      <c r="J1" s="7"/>
      <c r="K1" s="7"/>
      <c r="M1" s="30"/>
      <c r="P1" s="30" t="s">
        <v>62</v>
      </c>
    </row>
    <row r="2" spans="3:49" x14ac:dyDescent="0.3">
      <c r="C2" s="1" t="s">
        <v>5</v>
      </c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3:49" x14ac:dyDescent="0.3">
      <c r="C3" s="6"/>
      <c r="D3" s="55"/>
      <c r="E3" s="55" t="s">
        <v>0</v>
      </c>
      <c r="F3" s="55" t="s">
        <v>1</v>
      </c>
      <c r="G3" s="55" t="s">
        <v>2</v>
      </c>
      <c r="H3" s="55" t="s">
        <v>3</v>
      </c>
      <c r="I3" s="55" t="s">
        <v>4</v>
      </c>
      <c r="J3" s="55" t="s">
        <v>6</v>
      </c>
      <c r="K3" s="55" t="s">
        <v>7</v>
      </c>
      <c r="L3" s="55" t="s">
        <v>8</v>
      </c>
      <c r="M3" s="55" t="s">
        <v>152</v>
      </c>
      <c r="N3" s="55" t="s">
        <v>160</v>
      </c>
      <c r="O3" s="55" t="s">
        <v>183</v>
      </c>
      <c r="P3" s="55" t="s">
        <v>187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3:49" x14ac:dyDescent="0.3">
      <c r="C4" s="7"/>
      <c r="D4" s="7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3:49" x14ac:dyDescent="0.3">
      <c r="D5" s="7"/>
      <c r="E5" s="7"/>
      <c r="F5" s="7"/>
      <c r="G5" s="7"/>
      <c r="H5" s="44"/>
      <c r="I5" s="44"/>
      <c r="J5" s="44"/>
      <c r="K5" s="44"/>
      <c r="L5" s="4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3:49" x14ac:dyDescent="0.3">
      <c r="C6" s="56" t="s">
        <v>77</v>
      </c>
      <c r="D6" s="56"/>
      <c r="E6" s="47"/>
      <c r="F6" s="47"/>
      <c r="G6" s="47"/>
      <c r="H6" s="18">
        <f>Balanço!H30+Balanço!H42</f>
        <v>502247</v>
      </c>
      <c r="I6" s="18">
        <f>Balanço!I30+Balanço!I42</f>
        <v>500294</v>
      </c>
      <c r="J6" s="18">
        <f>Balanço!J30+Balanço!J42</f>
        <v>480023</v>
      </c>
      <c r="K6" s="18">
        <f>Balanço!K30+Balanço!K42</f>
        <v>456080</v>
      </c>
      <c r="L6" s="18">
        <f>Balanço!L30+Balanço!L42</f>
        <v>443366</v>
      </c>
      <c r="M6" s="18">
        <f>Balanço!M30+Balanço!M42</f>
        <v>426479</v>
      </c>
      <c r="N6" s="18">
        <f>Balanço!N30+Balanço!N42</f>
        <v>404017</v>
      </c>
      <c r="O6" s="18">
        <v>404017.86797000002</v>
      </c>
      <c r="P6" s="18">
        <v>346426.11757999996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3:49" x14ac:dyDescent="0.3">
      <c r="C7" s="56" t="s">
        <v>78</v>
      </c>
      <c r="D7" s="56"/>
      <c r="E7" s="47"/>
      <c r="F7" s="47"/>
      <c r="G7" s="47"/>
      <c r="H7" s="18">
        <v>63548</v>
      </c>
      <c r="I7" s="18">
        <v>63962.999999999993</v>
      </c>
      <c r="J7" s="18">
        <v>64253</v>
      </c>
      <c r="K7" s="18">
        <v>54357.613000000005</v>
      </c>
      <c r="L7" s="18">
        <v>18613.495079999997</v>
      </c>
      <c r="M7" s="18">
        <v>18748</v>
      </c>
      <c r="N7" s="18">
        <v>16938</v>
      </c>
      <c r="O7" s="18">
        <v>14805.37376</v>
      </c>
      <c r="P7" s="18">
        <v>9959.7662899999996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3:49" x14ac:dyDescent="0.3">
      <c r="C8" s="56" t="s">
        <v>79</v>
      </c>
      <c r="D8" s="56"/>
      <c r="E8" s="47"/>
      <c r="F8" s="47"/>
      <c r="G8" s="47"/>
      <c r="H8" s="18">
        <v>2441</v>
      </c>
      <c r="I8" s="18">
        <v>3322.8559999999998</v>
      </c>
      <c r="J8" s="18">
        <v>3090.4490000000001</v>
      </c>
      <c r="K8" s="18">
        <v>2525.5969999999998</v>
      </c>
      <c r="L8" s="18">
        <v>2403.7303299999999</v>
      </c>
      <c r="M8" s="18">
        <v>2315</v>
      </c>
      <c r="N8" s="18">
        <v>2208</v>
      </c>
      <c r="O8" s="18">
        <v>2108.2137399999997</v>
      </c>
      <c r="P8" s="18">
        <v>2009.5044400000004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3:49" ht="15" thickBot="1" x14ac:dyDescent="0.35">
      <c r="C9" s="57" t="s">
        <v>80</v>
      </c>
      <c r="D9" s="57"/>
      <c r="E9" s="48"/>
      <c r="F9" s="48"/>
      <c r="G9" s="48"/>
      <c r="H9" s="24">
        <f>-(Balanço!H5+Balanço!H6)</f>
        <v>-294268</v>
      </c>
      <c r="I9" s="24">
        <f>-(Balanço!I5+Balanço!I6)</f>
        <v>-455222</v>
      </c>
      <c r="J9" s="24">
        <f>-(Balanço!J5+Balanço!J6)</f>
        <v>-651529</v>
      </c>
      <c r="K9" s="24">
        <f>-(Balanço!K5+Balanço!K6)</f>
        <v>-315042</v>
      </c>
      <c r="L9" s="24">
        <f>-(Balanço!L5+Balanço!L6)</f>
        <v>-382314</v>
      </c>
      <c r="M9" s="24">
        <f>-(Balanço!M5+Balanço!M6)</f>
        <v>-276568</v>
      </c>
      <c r="N9" s="24">
        <f>-(Balanço!N5+Balanço!N6)</f>
        <v>-172248</v>
      </c>
      <c r="O9" s="24">
        <v>-461119</v>
      </c>
      <c r="P9" s="24">
        <v>-733966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3:49" s="5" customFormat="1" ht="15" thickTop="1" x14ac:dyDescent="0.3">
      <c r="C10" s="52" t="s">
        <v>81</v>
      </c>
      <c r="D10" s="11"/>
      <c r="E10" s="11">
        <f>SUM(E6:E9)</f>
        <v>0</v>
      </c>
      <c r="F10" s="11">
        <f t="shared" ref="F10:M10" si="0">SUM(F6:F9)</f>
        <v>0</v>
      </c>
      <c r="G10" s="11">
        <f t="shared" si="0"/>
        <v>0</v>
      </c>
      <c r="H10" s="27">
        <f t="shared" si="0"/>
        <v>273968</v>
      </c>
      <c r="I10" s="27">
        <f t="shared" si="0"/>
        <v>112357.85600000003</v>
      </c>
      <c r="J10" s="27">
        <f t="shared" si="0"/>
        <v>-104162.55099999998</v>
      </c>
      <c r="K10" s="27">
        <f t="shared" si="0"/>
        <v>197921.21000000002</v>
      </c>
      <c r="L10" s="27">
        <f t="shared" si="0"/>
        <v>82069.225410000014</v>
      </c>
      <c r="M10" s="27">
        <f t="shared" si="0"/>
        <v>170974</v>
      </c>
      <c r="N10" s="27">
        <f t="shared" ref="N10:P10" si="1">SUM(N6:N9)</f>
        <v>250915</v>
      </c>
      <c r="O10" s="27">
        <f t="shared" si="1"/>
        <v>-40187.544530000014</v>
      </c>
      <c r="P10" s="27">
        <f t="shared" si="1"/>
        <v>-375570.61169000005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spans="3:49" ht="15" thickBot="1" x14ac:dyDescent="0.35">
      <c r="C11" s="22" t="s">
        <v>181</v>
      </c>
      <c r="D11" s="24"/>
      <c r="E11" s="48"/>
      <c r="F11" s="48"/>
      <c r="G11" s="48"/>
      <c r="H11" s="24">
        <f>SUM(DRE!E41:H41)</f>
        <v>222729</v>
      </c>
      <c r="I11" s="24">
        <f>SUM(DRE!F41:I41)</f>
        <v>223415</v>
      </c>
      <c r="J11" s="24">
        <f>SUM(DRE!G41:J41)</f>
        <v>185339</v>
      </c>
      <c r="K11" s="24">
        <f>SUM(DRE!H41:K41)</f>
        <v>249897</v>
      </c>
      <c r="L11" s="24">
        <f>SUM(DRE!I41:L41)</f>
        <v>328777</v>
      </c>
      <c r="M11" s="24">
        <f>SUM(DRE!J41:M41)</f>
        <v>382284</v>
      </c>
      <c r="N11" s="24">
        <f>SUM(DRE!K41:N41)</f>
        <v>469510.73361</v>
      </c>
      <c r="O11" s="24">
        <f>SUM(DRE!L41:O41)</f>
        <v>447172.73361</v>
      </c>
      <c r="P11" s="24">
        <v>444477.80206000054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3:49" s="5" customFormat="1" ht="15" thickTop="1" x14ac:dyDescent="0.3">
      <c r="C12" s="52" t="s">
        <v>182</v>
      </c>
      <c r="D12" s="11"/>
      <c r="E12" s="88" t="str">
        <f>IFERROR(E10/E11,"")</f>
        <v/>
      </c>
      <c r="F12" s="88" t="str">
        <f t="shared" ref="F12:M12" si="2">IFERROR(F10/F11,"")</f>
        <v/>
      </c>
      <c r="G12" s="88" t="str">
        <f t="shared" si="2"/>
        <v/>
      </c>
      <c r="H12" s="88">
        <f t="shared" si="2"/>
        <v>1.2300508689932608</v>
      </c>
      <c r="I12" s="88">
        <f t="shared" si="2"/>
        <v>0.50291097732918577</v>
      </c>
      <c r="J12" s="88">
        <f t="shared" si="2"/>
        <v>-0.56201096908907444</v>
      </c>
      <c r="K12" s="88">
        <f t="shared" si="2"/>
        <v>0.79201114859322053</v>
      </c>
      <c r="L12" s="88">
        <f t="shared" si="2"/>
        <v>0.24961972829607915</v>
      </c>
      <c r="M12" s="88">
        <f t="shared" si="2"/>
        <v>0.44724341065804479</v>
      </c>
      <c r="N12" s="88">
        <f t="shared" ref="N12:P12" si="3">IFERROR(N10/N11,"")</f>
        <v>0.53441802718917819</v>
      </c>
      <c r="O12" s="88">
        <f t="shared" si="3"/>
        <v>-8.9870292863270654E-2</v>
      </c>
      <c r="P12" s="88">
        <f t="shared" si="3"/>
        <v>-0.84497045735323661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3:49" x14ac:dyDescent="0.3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3:49" x14ac:dyDescent="0.3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3:49" x14ac:dyDescent="0.3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3:49" x14ac:dyDescent="0.3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4:49" x14ac:dyDescent="0.3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4:49" x14ac:dyDescent="0.3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4:49" x14ac:dyDescent="0.3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4:49" x14ac:dyDescent="0.3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4:49" x14ac:dyDescent="0.3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4:49" x14ac:dyDescent="0.3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4:49" x14ac:dyDescent="0.3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4:49" x14ac:dyDescent="0.3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4:49" x14ac:dyDescent="0.3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4:49" x14ac:dyDescent="0.3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4:49" x14ac:dyDescent="0.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4:49" x14ac:dyDescent="0.3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4:49" x14ac:dyDescent="0.3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4:49" x14ac:dyDescent="0.3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4:49" x14ac:dyDescent="0.3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4:49" x14ac:dyDescent="0.3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4:49" x14ac:dyDescent="0.3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4:49" x14ac:dyDescent="0.3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4:49" x14ac:dyDescent="0.3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4:49" x14ac:dyDescent="0.3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4:49" x14ac:dyDescent="0.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4:49" x14ac:dyDescent="0.3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4:49" x14ac:dyDescent="0.3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4:49" x14ac:dyDescent="0.3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4:49" x14ac:dyDescent="0.3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4:49" x14ac:dyDescent="0.3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4:49" x14ac:dyDescent="0.3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4:49" x14ac:dyDescent="0.3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4:49" x14ac:dyDescent="0.3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4:49" x14ac:dyDescent="0.3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4:49" x14ac:dyDescent="0.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4:49" x14ac:dyDescent="0.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4:49" x14ac:dyDescent="0.3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4:49" x14ac:dyDescent="0.3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</sheetData>
  <hyperlinks>
    <hyperlink ref="P1" location="Indice!A1" display="Voltar" xr:uid="{9684B4CC-FB95-4C48-A0CB-8C68D2E19273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17EC-767E-44AB-A3A8-C2C074A49FB6}">
  <dimension ref="C1:U45"/>
  <sheetViews>
    <sheetView showGridLines="0" zoomScale="85" zoomScaleNormal="85" workbookViewId="0">
      <pane xSplit="4" ySplit="3" topLeftCell="M29" activePane="bottomRight" state="frozen"/>
      <selection activeCell="G17" sqref="G17"/>
      <selection pane="topRight" activeCell="G17" sqref="G17"/>
      <selection pane="bottomLeft" activeCell="G17" sqref="G17"/>
      <selection pane="bottomRight" activeCell="Q39" sqref="Q39"/>
    </sheetView>
  </sheetViews>
  <sheetFormatPr defaultRowHeight="14.4" x14ac:dyDescent="0.3"/>
  <cols>
    <col min="3" max="3" width="40.109375" bestFit="1" customWidth="1"/>
  </cols>
  <sheetData>
    <row r="1" spans="3:21" x14ac:dyDescent="0.3">
      <c r="C1" s="7"/>
      <c r="D1" s="7"/>
      <c r="E1" s="58"/>
      <c r="F1" s="58"/>
      <c r="G1" s="58"/>
      <c r="H1" s="7"/>
      <c r="I1" s="7"/>
      <c r="J1" s="7"/>
      <c r="K1" s="7"/>
      <c r="M1" s="30"/>
      <c r="P1" s="30" t="s">
        <v>62</v>
      </c>
      <c r="Q1" s="7"/>
      <c r="R1" s="7"/>
      <c r="S1" s="7"/>
      <c r="T1" s="7"/>
      <c r="U1" s="7"/>
    </row>
    <row r="2" spans="3:21" x14ac:dyDescent="0.3">
      <c r="C2" s="1" t="s">
        <v>89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"/>
      <c r="R2" s="7"/>
      <c r="S2" s="7"/>
      <c r="T2" s="7"/>
      <c r="U2" s="7"/>
    </row>
    <row r="3" spans="3:21" x14ac:dyDescent="0.3">
      <c r="C3" s="60" t="s">
        <v>91</v>
      </c>
      <c r="D3" s="6"/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152</v>
      </c>
      <c r="N3" s="6" t="s">
        <v>160</v>
      </c>
      <c r="O3" s="6" t="s">
        <v>183</v>
      </c>
      <c r="P3" s="6" t="s">
        <v>187</v>
      </c>
      <c r="Q3" s="7"/>
      <c r="R3" s="7"/>
      <c r="S3" s="7"/>
      <c r="T3" s="7"/>
      <c r="U3" s="7"/>
    </row>
    <row r="4" spans="3:21" x14ac:dyDescent="0.3">
      <c r="C4" s="7"/>
      <c r="D4" s="7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</row>
    <row r="5" spans="3:21" x14ac:dyDescent="0.3">
      <c r="C5" s="2" t="s">
        <v>90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</row>
    <row r="6" spans="3:21" x14ac:dyDescent="0.3">
      <c r="C6" s="7"/>
      <c r="D6" s="7"/>
      <c r="E6" s="8"/>
      <c r="F6" s="8"/>
      <c r="G6" s="8"/>
      <c r="H6" s="8"/>
      <c r="I6" s="8"/>
      <c r="J6" s="8"/>
      <c r="K6" s="8"/>
      <c r="L6" s="8"/>
      <c r="M6" s="7"/>
      <c r="N6" s="7"/>
      <c r="O6" s="7"/>
      <c r="P6" s="7"/>
      <c r="Q6" s="7"/>
      <c r="R6" s="7"/>
      <c r="S6" s="7"/>
      <c r="T6" s="7"/>
      <c r="U6" s="7"/>
    </row>
    <row r="7" spans="3:21" s="7" customFormat="1" ht="13.8" x14ac:dyDescent="0.3">
      <c r="C7" s="11" t="s">
        <v>85</v>
      </c>
    </row>
    <row r="8" spans="3:21" s="7" customFormat="1" ht="13.8" x14ac:dyDescent="0.3">
      <c r="C8" s="7" t="s">
        <v>82</v>
      </c>
      <c r="E8" s="43">
        <v>1320450</v>
      </c>
      <c r="F8" s="43">
        <v>1789680</v>
      </c>
      <c r="G8" s="43">
        <v>2076838</v>
      </c>
      <c r="H8" s="43">
        <v>2348285.1076828134</v>
      </c>
      <c r="I8" s="43">
        <v>1556501</v>
      </c>
      <c r="J8" s="43">
        <v>1880854</v>
      </c>
      <c r="K8" s="43">
        <v>2469210.9900000002</v>
      </c>
      <c r="L8" s="43">
        <v>3667640</v>
      </c>
      <c r="M8" s="43">
        <v>2110973</v>
      </c>
      <c r="N8" s="43">
        <v>2394253</v>
      </c>
      <c r="O8" s="43">
        <v>1962993</v>
      </c>
      <c r="P8" s="43">
        <v>2064897</v>
      </c>
    </row>
    <row r="9" spans="3:21" s="7" customFormat="1" ht="13.8" x14ac:dyDescent="0.3">
      <c r="C9" s="7" t="s">
        <v>83</v>
      </c>
      <c r="E9" s="43">
        <v>135221</v>
      </c>
      <c r="F9" s="43">
        <v>165408</v>
      </c>
      <c r="G9" s="43">
        <v>214693</v>
      </c>
      <c r="H9" s="43">
        <v>242130.96836679155</v>
      </c>
      <c r="I9" s="43">
        <v>138498</v>
      </c>
      <c r="J9" s="43">
        <v>106943</v>
      </c>
      <c r="K9" s="43">
        <v>147878</v>
      </c>
      <c r="L9" s="43">
        <v>206683</v>
      </c>
      <c r="M9" s="43">
        <v>74698</v>
      </c>
      <c r="N9" s="43">
        <v>103276</v>
      </c>
      <c r="O9" s="43">
        <v>126452</v>
      </c>
      <c r="P9" s="43">
        <v>207322</v>
      </c>
    </row>
    <row r="10" spans="3:21" s="7" customFormat="1" thickBot="1" x14ac:dyDescent="0.35">
      <c r="C10" s="16" t="s">
        <v>84</v>
      </c>
      <c r="D10" s="16"/>
      <c r="E10" s="24">
        <v>19592</v>
      </c>
      <c r="F10" s="24">
        <v>42648</v>
      </c>
      <c r="G10" s="24">
        <v>57178</v>
      </c>
      <c r="H10" s="24">
        <v>64346</v>
      </c>
      <c r="I10" s="24">
        <v>32340</v>
      </c>
      <c r="J10" s="24">
        <v>29384</v>
      </c>
      <c r="K10" s="24">
        <v>205141</v>
      </c>
      <c r="L10" s="24">
        <v>209448</v>
      </c>
      <c r="M10" s="24">
        <v>120756</v>
      </c>
      <c r="N10" s="24">
        <v>127339</v>
      </c>
      <c r="O10" s="24">
        <v>149189</v>
      </c>
      <c r="P10" s="24">
        <v>167791</v>
      </c>
    </row>
    <row r="11" spans="3:21" s="7" customFormat="1" thickTop="1" x14ac:dyDescent="0.3">
      <c r="C11" s="7" t="s">
        <v>68</v>
      </c>
      <c r="E11" s="27">
        <f>SUM(E8:E10)</f>
        <v>1475263</v>
      </c>
      <c r="F11" s="27">
        <f t="shared" ref="F11:P11" si="0">SUM(F8:F10)</f>
        <v>1997736</v>
      </c>
      <c r="G11" s="27">
        <f t="shared" si="0"/>
        <v>2348709</v>
      </c>
      <c r="H11" s="27">
        <f t="shared" si="0"/>
        <v>2654762.0760496049</v>
      </c>
      <c r="I11" s="27">
        <f t="shared" si="0"/>
        <v>1727339</v>
      </c>
      <c r="J11" s="27">
        <f t="shared" si="0"/>
        <v>2017181</v>
      </c>
      <c r="K11" s="27">
        <f t="shared" si="0"/>
        <v>2822229.99</v>
      </c>
      <c r="L11" s="27">
        <f t="shared" si="0"/>
        <v>4083771</v>
      </c>
      <c r="M11" s="27">
        <f t="shared" si="0"/>
        <v>2306427</v>
      </c>
      <c r="N11" s="27">
        <f t="shared" si="0"/>
        <v>2624868</v>
      </c>
      <c r="O11" s="27">
        <f t="shared" si="0"/>
        <v>2238634</v>
      </c>
      <c r="P11" s="27">
        <f t="shared" si="0"/>
        <v>2440010</v>
      </c>
      <c r="R11" s="92"/>
    </row>
    <row r="12" spans="3:21" s="7" customFormat="1" ht="13.8" x14ac:dyDescent="0.3"/>
    <row r="13" spans="3:21" s="7" customFormat="1" ht="13.8" x14ac:dyDescent="0.3">
      <c r="C13" s="11" t="s">
        <v>155</v>
      </c>
    </row>
    <row r="14" spans="3:21" s="7" customFormat="1" ht="13.8" x14ac:dyDescent="0.3">
      <c r="C14" s="7" t="s">
        <v>137</v>
      </c>
      <c r="E14" s="74">
        <v>0.72</v>
      </c>
      <c r="F14" s="74">
        <v>0.67</v>
      </c>
      <c r="G14" s="74">
        <v>0.63</v>
      </c>
      <c r="H14" s="74">
        <v>0.66</v>
      </c>
      <c r="I14" s="74">
        <v>0.54</v>
      </c>
      <c r="J14" s="74">
        <v>0.51</v>
      </c>
      <c r="K14" s="74">
        <v>0.64</v>
      </c>
      <c r="L14" s="74">
        <v>0.54</v>
      </c>
      <c r="M14" s="74">
        <v>0.55000000000000004</v>
      </c>
      <c r="N14" s="74">
        <v>0.56999999999999995</v>
      </c>
      <c r="O14" s="74">
        <v>0.57999999999999996</v>
      </c>
      <c r="P14" s="74">
        <v>0.52</v>
      </c>
    </row>
    <row r="15" spans="3:21" s="7" customFormat="1" ht="13.8" x14ac:dyDescent="0.3">
      <c r="C15" s="7" t="s">
        <v>138</v>
      </c>
      <c r="E15" s="74">
        <v>0.13</v>
      </c>
      <c r="F15" s="74">
        <v>0.16</v>
      </c>
      <c r="G15" s="74">
        <v>0.17</v>
      </c>
      <c r="H15" s="74">
        <v>0.16</v>
      </c>
      <c r="I15" s="74">
        <v>0.32</v>
      </c>
      <c r="J15" s="74">
        <v>0.28000000000000003</v>
      </c>
      <c r="K15" s="74">
        <v>0.21</v>
      </c>
      <c r="L15" s="74">
        <v>0.23</v>
      </c>
      <c r="M15" s="74">
        <v>0.25</v>
      </c>
      <c r="N15" s="74">
        <v>0.25</v>
      </c>
      <c r="O15" s="74">
        <v>0.26</v>
      </c>
      <c r="P15" s="74">
        <v>0.27</v>
      </c>
    </row>
    <row r="16" spans="3:21" s="7" customFormat="1" ht="13.8" x14ac:dyDescent="0.3">
      <c r="C16" s="7" t="s">
        <v>139</v>
      </c>
      <c r="E16" s="74">
        <v>0.04</v>
      </c>
      <c r="F16" s="74">
        <v>0.05</v>
      </c>
      <c r="G16" s="74">
        <v>0.08</v>
      </c>
      <c r="H16" s="74">
        <v>7.0000000000000007E-2</v>
      </c>
      <c r="I16" s="74">
        <v>0.05</v>
      </c>
      <c r="J16" s="74">
        <v>0.05</v>
      </c>
      <c r="K16" s="74">
        <v>0.05</v>
      </c>
      <c r="L16" s="74">
        <v>0.06</v>
      </c>
      <c r="M16" s="74">
        <v>0.04</v>
      </c>
      <c r="N16" s="74">
        <v>0.04</v>
      </c>
      <c r="O16" s="74">
        <v>0.04</v>
      </c>
      <c r="P16" s="74">
        <v>0.05</v>
      </c>
    </row>
    <row r="17" spans="3:16" s="7" customFormat="1" ht="13.8" x14ac:dyDescent="0.3">
      <c r="C17" s="7" t="s">
        <v>140</v>
      </c>
      <c r="E17" s="74">
        <v>0.03</v>
      </c>
      <c r="F17" s="74">
        <v>0.03</v>
      </c>
      <c r="G17" s="74">
        <v>0.04</v>
      </c>
      <c r="H17" s="74">
        <v>0.05</v>
      </c>
      <c r="I17" s="74">
        <v>0.03</v>
      </c>
      <c r="J17" s="74">
        <v>0.04</v>
      </c>
      <c r="K17" s="74">
        <v>0.01</v>
      </c>
      <c r="L17" s="74">
        <v>0.04</v>
      </c>
      <c r="M17" s="74">
        <v>0.04</v>
      </c>
      <c r="N17" s="74">
        <v>0.03</v>
      </c>
      <c r="O17" s="74">
        <v>0.05</v>
      </c>
      <c r="P17" s="74">
        <v>7.0000000000000007E-2</v>
      </c>
    </row>
    <row r="18" spans="3:16" s="7" customFormat="1" ht="13.8" x14ac:dyDescent="0.3">
      <c r="C18" s="7" t="s">
        <v>141</v>
      </c>
      <c r="E18" s="74">
        <v>0.03</v>
      </c>
      <c r="F18" s="74">
        <v>0.03</v>
      </c>
      <c r="G18" s="74">
        <v>0.03</v>
      </c>
      <c r="H18" s="74">
        <v>0.02</v>
      </c>
      <c r="I18" s="74">
        <v>0.03</v>
      </c>
      <c r="J18" s="74">
        <v>0.04</v>
      </c>
      <c r="K18" s="74">
        <v>0.03</v>
      </c>
      <c r="L18" s="74">
        <v>0.02</v>
      </c>
      <c r="M18" s="89"/>
      <c r="N18" s="89"/>
      <c r="O18" s="89"/>
      <c r="P18" s="89"/>
    </row>
    <row r="19" spans="3:16" s="7" customFormat="1" ht="13.8" x14ac:dyDescent="0.3">
      <c r="C19" s="7" t="s">
        <v>154</v>
      </c>
      <c r="E19" s="89"/>
      <c r="F19" s="89"/>
      <c r="G19" s="89"/>
      <c r="H19" s="89"/>
      <c r="I19" s="89"/>
      <c r="J19" s="89"/>
      <c r="K19" s="89"/>
      <c r="L19" s="89"/>
      <c r="M19" s="74">
        <v>0.06</v>
      </c>
      <c r="N19" s="74">
        <v>0.06</v>
      </c>
      <c r="O19" s="74">
        <v>0.03</v>
      </c>
      <c r="P19" s="74">
        <v>0.04</v>
      </c>
    </row>
    <row r="20" spans="3:16" s="7" customFormat="1" thickBot="1" x14ac:dyDescent="0.35">
      <c r="C20" s="16" t="s">
        <v>142</v>
      </c>
      <c r="D20" s="16"/>
      <c r="E20" s="75">
        <v>0.05</v>
      </c>
      <c r="F20" s="75">
        <v>0.06</v>
      </c>
      <c r="G20" s="75">
        <v>0.05</v>
      </c>
      <c r="H20" s="75">
        <v>0.04</v>
      </c>
      <c r="I20" s="75">
        <v>0.03</v>
      </c>
      <c r="J20" s="75">
        <v>0.08</v>
      </c>
      <c r="K20" s="75">
        <v>0.06</v>
      </c>
      <c r="L20" s="75">
        <v>0.11</v>
      </c>
      <c r="M20" s="75">
        <v>0.06</v>
      </c>
      <c r="N20" s="75">
        <v>0.05</v>
      </c>
      <c r="O20" s="75">
        <v>0.04</v>
      </c>
      <c r="P20" s="75">
        <v>0.05</v>
      </c>
    </row>
    <row r="21" spans="3:16" s="7" customFormat="1" thickTop="1" x14ac:dyDescent="0.3">
      <c r="C21" s="7" t="s">
        <v>68</v>
      </c>
      <c r="E21" s="59">
        <f>SUM(E14:E20)</f>
        <v>1</v>
      </c>
      <c r="F21" s="59">
        <f t="shared" ref="F21" si="1">SUM(F14:F20)</f>
        <v>1.0000000000000002</v>
      </c>
      <c r="G21" s="59">
        <f t="shared" ref="G21" si="2">SUM(G14:G20)</f>
        <v>1</v>
      </c>
      <c r="H21" s="59">
        <f t="shared" ref="H21" si="3">SUM(H14:H20)</f>
        <v>1.0000000000000002</v>
      </c>
      <c r="I21" s="59">
        <f t="shared" ref="I21" si="4">SUM(I14:I20)</f>
        <v>1.0000000000000002</v>
      </c>
      <c r="J21" s="59">
        <f t="shared" ref="J21" si="5">SUM(J14:J20)</f>
        <v>1.0000000000000002</v>
      </c>
      <c r="K21" s="59">
        <f t="shared" ref="K21" si="6">SUM(K14:K20)</f>
        <v>1</v>
      </c>
      <c r="L21" s="59">
        <f t="shared" ref="L21:P21" si="7">SUM(L14:L20)</f>
        <v>1.0000000000000002</v>
      </c>
      <c r="M21" s="59">
        <f t="shared" si="7"/>
        <v>1.0000000000000002</v>
      </c>
      <c r="N21" s="59">
        <f t="shared" si="7"/>
        <v>1</v>
      </c>
      <c r="O21" s="59">
        <f t="shared" si="7"/>
        <v>1</v>
      </c>
      <c r="P21" s="59">
        <f t="shared" si="7"/>
        <v>1.0000000000000002</v>
      </c>
    </row>
    <row r="22" spans="3:16" s="7" customFormat="1" ht="13.8" x14ac:dyDescent="0.3"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3:16" s="7" customFormat="1" ht="13.8" x14ac:dyDescent="0.3">
      <c r="C23" s="11" t="s">
        <v>156</v>
      </c>
    </row>
    <row r="24" spans="3:16" s="7" customFormat="1" ht="13.8" x14ac:dyDescent="0.3">
      <c r="C24" s="7" t="s">
        <v>143</v>
      </c>
      <c r="E24" s="74">
        <v>0.72</v>
      </c>
      <c r="F24" s="74">
        <v>0.85</v>
      </c>
      <c r="G24" s="74">
        <v>0.88</v>
      </c>
      <c r="H24" s="74">
        <v>0.66</v>
      </c>
      <c r="I24" s="74">
        <v>0.65</v>
      </c>
      <c r="J24" s="74">
        <v>0.76</v>
      </c>
      <c r="K24" s="74">
        <v>0.9</v>
      </c>
      <c r="L24" s="74">
        <v>0.9</v>
      </c>
      <c r="M24" s="74">
        <v>0.88</v>
      </c>
      <c r="N24" s="74">
        <v>0.82</v>
      </c>
      <c r="O24" s="74">
        <v>0.83</v>
      </c>
      <c r="P24" s="74">
        <v>0.86</v>
      </c>
    </row>
    <row r="25" spans="3:16" s="7" customFormat="1" ht="13.8" x14ac:dyDescent="0.3">
      <c r="C25" s="7" t="s">
        <v>144</v>
      </c>
      <c r="E25" s="74">
        <v>0.13</v>
      </c>
      <c r="F25" s="74">
        <v>0.05</v>
      </c>
      <c r="G25" s="74">
        <v>0.03</v>
      </c>
      <c r="H25" s="74">
        <v>0.12</v>
      </c>
      <c r="I25" s="74">
        <v>0.17</v>
      </c>
      <c r="J25" s="74">
        <v>0.06</v>
      </c>
      <c r="K25" s="74">
        <v>0.01</v>
      </c>
      <c r="L25" s="74">
        <v>0.02</v>
      </c>
      <c r="M25" s="74">
        <v>0.02</v>
      </c>
      <c r="N25" s="74">
        <v>0.02</v>
      </c>
      <c r="O25" s="74">
        <v>0.02</v>
      </c>
      <c r="P25" s="74">
        <v>0.02</v>
      </c>
    </row>
    <row r="26" spans="3:16" s="7" customFormat="1" ht="13.8" x14ac:dyDescent="0.3">
      <c r="C26" s="7" t="s">
        <v>145</v>
      </c>
      <c r="E26" s="74">
        <v>0.04</v>
      </c>
      <c r="F26" s="74">
        <v>0.02</v>
      </c>
      <c r="G26" s="74">
        <v>0.02</v>
      </c>
      <c r="H26" s="74">
        <v>0.01</v>
      </c>
      <c r="I26" s="74">
        <v>0.01</v>
      </c>
      <c r="J26" s="74">
        <v>0.02</v>
      </c>
      <c r="K26" s="74">
        <v>0.02</v>
      </c>
      <c r="L26" s="74">
        <v>0.02</v>
      </c>
      <c r="M26" s="74">
        <v>0.03</v>
      </c>
      <c r="N26" s="74">
        <v>0.08</v>
      </c>
      <c r="O26" s="74">
        <v>0.05</v>
      </c>
      <c r="P26" s="74">
        <v>0.05</v>
      </c>
    </row>
    <row r="27" spans="3:16" s="7" customFormat="1" ht="13.8" x14ac:dyDescent="0.3">
      <c r="C27" s="7" t="s">
        <v>146</v>
      </c>
      <c r="E27" s="74">
        <v>0.01</v>
      </c>
      <c r="F27" s="74">
        <v>0.02</v>
      </c>
      <c r="G27" s="74">
        <v>0.02</v>
      </c>
      <c r="H27" s="74">
        <v>0.06</v>
      </c>
      <c r="I27" s="74">
        <v>0</v>
      </c>
      <c r="J27" s="74">
        <v>0.01</v>
      </c>
      <c r="K27" s="74">
        <v>0</v>
      </c>
      <c r="L27" s="74">
        <v>0.01</v>
      </c>
      <c r="M27" s="74">
        <v>2E-3</v>
      </c>
      <c r="N27" s="74">
        <v>0</v>
      </c>
      <c r="O27" s="74">
        <v>0</v>
      </c>
      <c r="P27" s="74">
        <v>0</v>
      </c>
    </row>
    <row r="28" spans="3:16" s="7" customFormat="1" ht="13.8" x14ac:dyDescent="0.3">
      <c r="C28" s="7" t="s">
        <v>147</v>
      </c>
      <c r="E28" s="74">
        <v>0.01</v>
      </c>
      <c r="F28" s="74">
        <v>0.01</v>
      </c>
      <c r="G28" s="74">
        <v>0.01</v>
      </c>
      <c r="H28" s="74">
        <v>0.1</v>
      </c>
      <c r="I28" s="74">
        <v>0.11</v>
      </c>
      <c r="J28" s="74">
        <v>0.08</v>
      </c>
      <c r="K28" s="74">
        <v>0.04</v>
      </c>
      <c r="L28" s="74">
        <v>0.01</v>
      </c>
      <c r="M28" s="74">
        <v>0.03</v>
      </c>
      <c r="N28" s="74">
        <v>0.06</v>
      </c>
      <c r="O28" s="74">
        <v>0.06</v>
      </c>
      <c r="P28" s="74">
        <v>0.02</v>
      </c>
    </row>
    <row r="29" spans="3:16" s="7" customFormat="1" thickBot="1" x14ac:dyDescent="0.35">
      <c r="C29" s="16" t="s">
        <v>142</v>
      </c>
      <c r="D29" s="16"/>
      <c r="E29" s="75">
        <v>0.09</v>
      </c>
      <c r="F29" s="75">
        <v>0.05</v>
      </c>
      <c r="G29" s="75">
        <v>0.04</v>
      </c>
      <c r="H29" s="75">
        <v>0.05</v>
      </c>
      <c r="I29" s="75">
        <v>0.06</v>
      </c>
      <c r="J29" s="75">
        <v>7.0000000000000007E-2</v>
      </c>
      <c r="K29" s="75">
        <v>0.03</v>
      </c>
      <c r="L29" s="75">
        <v>0.04</v>
      </c>
      <c r="M29" s="75">
        <v>0.04</v>
      </c>
      <c r="N29" s="75">
        <v>0.02</v>
      </c>
      <c r="O29" s="75">
        <v>0.04</v>
      </c>
      <c r="P29" s="75">
        <v>0.05</v>
      </c>
    </row>
    <row r="30" spans="3:16" s="7" customFormat="1" thickTop="1" x14ac:dyDescent="0.3">
      <c r="C30" s="7" t="s">
        <v>68</v>
      </c>
      <c r="E30" s="59">
        <f t="shared" ref="E30:P30" si="8">SUM(E24:E29)</f>
        <v>1</v>
      </c>
      <c r="F30" s="59">
        <f t="shared" si="8"/>
        <v>1</v>
      </c>
      <c r="G30" s="59">
        <f t="shared" si="8"/>
        <v>1</v>
      </c>
      <c r="H30" s="59">
        <f t="shared" si="8"/>
        <v>1</v>
      </c>
      <c r="I30" s="59">
        <f t="shared" si="8"/>
        <v>1</v>
      </c>
      <c r="J30" s="59">
        <f t="shared" si="8"/>
        <v>1</v>
      </c>
      <c r="K30" s="59">
        <f t="shared" si="8"/>
        <v>1</v>
      </c>
      <c r="L30" s="59">
        <f t="shared" si="8"/>
        <v>1</v>
      </c>
      <c r="M30" s="59">
        <f t="shared" si="8"/>
        <v>1.002</v>
      </c>
      <c r="N30" s="59">
        <f t="shared" si="8"/>
        <v>1</v>
      </c>
      <c r="O30" s="59">
        <f t="shared" si="8"/>
        <v>1</v>
      </c>
      <c r="P30" s="59">
        <f t="shared" si="8"/>
        <v>1</v>
      </c>
    </row>
    <row r="32" spans="3:16" s="7" customFormat="1" ht="13.8" x14ac:dyDescent="0.3">
      <c r="C32" s="11" t="s">
        <v>157</v>
      </c>
    </row>
    <row r="33" spans="3:21" s="7" customFormat="1" ht="13.8" x14ac:dyDescent="0.3">
      <c r="C33" s="7" t="s">
        <v>143</v>
      </c>
      <c r="E33" s="74">
        <v>0.82</v>
      </c>
      <c r="F33" s="74">
        <v>0.89</v>
      </c>
      <c r="G33" s="74">
        <v>0.85</v>
      </c>
      <c r="H33" s="74">
        <v>0.82</v>
      </c>
      <c r="I33" s="74">
        <v>0.76</v>
      </c>
      <c r="J33" s="74">
        <v>0.79</v>
      </c>
      <c r="K33" s="74">
        <v>0.81</v>
      </c>
      <c r="L33" s="74">
        <v>0.76</v>
      </c>
      <c r="M33" s="74">
        <v>0.74</v>
      </c>
      <c r="N33" s="74">
        <v>0.79</v>
      </c>
      <c r="O33" s="74">
        <v>0.7</v>
      </c>
      <c r="P33" s="74">
        <v>0.74</v>
      </c>
    </row>
    <row r="34" spans="3:21" s="7" customFormat="1" ht="13.8" x14ac:dyDescent="0.3">
      <c r="C34" s="7" t="s">
        <v>145</v>
      </c>
      <c r="E34" s="74">
        <v>0.03</v>
      </c>
      <c r="F34" s="74">
        <v>0.02</v>
      </c>
      <c r="G34" s="74">
        <v>0.03</v>
      </c>
      <c r="H34" s="74">
        <v>0.04</v>
      </c>
      <c r="I34" s="74">
        <v>0.05</v>
      </c>
      <c r="J34" s="74">
        <v>0.06</v>
      </c>
      <c r="K34" s="74">
        <v>0.05</v>
      </c>
      <c r="L34" s="74">
        <v>7.0000000000000007E-2</v>
      </c>
      <c r="M34" s="74">
        <v>0.09</v>
      </c>
      <c r="N34" s="74">
        <v>0.06</v>
      </c>
      <c r="O34" s="74">
        <v>7.0000000000000007E-2</v>
      </c>
      <c r="P34" s="74">
        <v>0.06</v>
      </c>
    </row>
    <row r="35" spans="3:21" s="7" customFormat="1" ht="13.8" x14ac:dyDescent="0.3">
      <c r="C35" s="7" t="s">
        <v>148</v>
      </c>
      <c r="E35" s="74">
        <v>0.06</v>
      </c>
      <c r="F35" s="74">
        <v>0.04</v>
      </c>
      <c r="G35" s="74">
        <v>0.06</v>
      </c>
      <c r="H35" s="74">
        <v>0.06</v>
      </c>
      <c r="I35" s="74">
        <v>7.0000000000000007E-2</v>
      </c>
      <c r="J35" s="74">
        <v>0.06</v>
      </c>
      <c r="K35" s="74">
        <v>0.06</v>
      </c>
      <c r="L35" s="74">
        <v>0.09</v>
      </c>
      <c r="M35" s="74">
        <v>0.08</v>
      </c>
      <c r="N35" s="74">
        <v>0.06</v>
      </c>
      <c r="O35" s="74">
        <v>0.06</v>
      </c>
      <c r="P35" s="74">
        <v>0.06</v>
      </c>
    </row>
    <row r="36" spans="3:21" s="7" customFormat="1" ht="13.8" x14ac:dyDescent="0.3">
      <c r="C36" s="7" t="s">
        <v>149</v>
      </c>
      <c r="E36" s="74">
        <v>0.04</v>
      </c>
      <c r="F36" s="74">
        <v>0.01</v>
      </c>
      <c r="G36" s="74">
        <v>0.02</v>
      </c>
      <c r="H36" s="74">
        <v>0.02</v>
      </c>
      <c r="I36" s="74">
        <v>0.03</v>
      </c>
      <c r="J36" s="74">
        <v>0</v>
      </c>
      <c r="K36" s="74">
        <v>0.01</v>
      </c>
      <c r="L36" s="74">
        <v>0.02</v>
      </c>
      <c r="M36" s="89"/>
      <c r="N36" s="89"/>
      <c r="O36" s="89"/>
      <c r="P36" s="89"/>
    </row>
    <row r="37" spans="3:21" s="7" customFormat="1" ht="13.8" x14ac:dyDescent="0.3">
      <c r="C37" s="7" t="s">
        <v>158</v>
      </c>
      <c r="E37" s="89"/>
      <c r="F37" s="89"/>
      <c r="G37" s="89"/>
      <c r="H37" s="89"/>
      <c r="I37" s="89"/>
      <c r="J37" s="89"/>
      <c r="K37" s="89"/>
      <c r="L37" s="89"/>
      <c r="M37" s="74">
        <v>0.05</v>
      </c>
      <c r="N37" s="74">
        <v>0.04</v>
      </c>
      <c r="O37" s="74">
        <v>7.0000000000000007E-2</v>
      </c>
      <c r="P37" s="74">
        <v>0.04</v>
      </c>
    </row>
    <row r="38" spans="3:21" s="7" customFormat="1" ht="13.8" x14ac:dyDescent="0.3">
      <c r="C38" s="7" t="s">
        <v>147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4">
        <v>0.08</v>
      </c>
      <c r="P38" s="74">
        <v>7.0000000000000007E-2</v>
      </c>
    </row>
    <row r="39" spans="3:21" s="7" customFormat="1" thickBot="1" x14ac:dyDescent="0.35">
      <c r="C39" s="16" t="s">
        <v>142</v>
      </c>
      <c r="D39" s="16"/>
      <c r="E39" s="75">
        <v>0.06</v>
      </c>
      <c r="F39" s="75">
        <v>0.04</v>
      </c>
      <c r="G39" s="75">
        <v>0.04</v>
      </c>
      <c r="H39" s="75">
        <v>0.06</v>
      </c>
      <c r="I39" s="75">
        <v>0.09</v>
      </c>
      <c r="J39" s="75">
        <v>0.09</v>
      </c>
      <c r="K39" s="75">
        <v>0.06</v>
      </c>
      <c r="L39" s="75">
        <v>0.06</v>
      </c>
      <c r="M39" s="75">
        <v>0.04</v>
      </c>
      <c r="N39" s="75">
        <v>0.05</v>
      </c>
      <c r="O39" s="75">
        <v>0.02</v>
      </c>
      <c r="P39" s="75">
        <v>0.03</v>
      </c>
    </row>
    <row r="40" spans="3:21" s="7" customFormat="1" thickTop="1" x14ac:dyDescent="0.3">
      <c r="C40" s="7" t="s">
        <v>68</v>
      </c>
      <c r="E40" s="59">
        <f t="shared" ref="E40:P40" si="9">SUM(E33:E39)</f>
        <v>1.01</v>
      </c>
      <c r="F40" s="59">
        <f t="shared" si="9"/>
        <v>1</v>
      </c>
      <c r="G40" s="59">
        <f t="shared" si="9"/>
        <v>1</v>
      </c>
      <c r="H40" s="59">
        <f t="shared" si="9"/>
        <v>1</v>
      </c>
      <c r="I40" s="59">
        <f t="shared" si="9"/>
        <v>1.0000000000000002</v>
      </c>
      <c r="J40" s="59">
        <f t="shared" si="9"/>
        <v>1.0000000000000002</v>
      </c>
      <c r="K40" s="59">
        <f t="shared" si="9"/>
        <v>0.99000000000000021</v>
      </c>
      <c r="L40" s="59">
        <f t="shared" si="9"/>
        <v>1</v>
      </c>
      <c r="M40" s="59">
        <f t="shared" si="9"/>
        <v>1</v>
      </c>
      <c r="N40" s="59">
        <f t="shared" si="9"/>
        <v>1.0000000000000002</v>
      </c>
      <c r="O40" s="59">
        <f t="shared" si="9"/>
        <v>1</v>
      </c>
      <c r="P40" s="59">
        <f t="shared" si="9"/>
        <v>1.0000000000000002</v>
      </c>
    </row>
    <row r="42" spans="3:21" x14ac:dyDescent="0.3">
      <c r="C42" s="2" t="s">
        <v>88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</row>
    <row r="43" spans="3:21" x14ac:dyDescent="0.3">
      <c r="C43" s="5"/>
    </row>
    <row r="44" spans="3:21" x14ac:dyDescent="0.3">
      <c r="C44" t="s">
        <v>87</v>
      </c>
      <c r="E44" s="47"/>
      <c r="F44" s="47"/>
      <c r="G44" s="47"/>
      <c r="H44" s="87">
        <v>0.6</v>
      </c>
      <c r="I44" s="87">
        <v>5.6</v>
      </c>
      <c r="J44" s="87">
        <v>6.1</v>
      </c>
      <c r="K44" s="87">
        <v>11</v>
      </c>
      <c r="L44" s="87">
        <v>16.170999999999999</v>
      </c>
      <c r="M44" s="87">
        <v>21.122</v>
      </c>
      <c r="N44" s="87">
        <v>26.6</v>
      </c>
      <c r="O44" s="87">
        <v>42.2</v>
      </c>
      <c r="P44" s="87">
        <v>54.9</v>
      </c>
    </row>
    <row r="45" spans="3:21" x14ac:dyDescent="0.3">
      <c r="C45" t="s">
        <v>86</v>
      </c>
      <c r="E45" s="47"/>
      <c r="F45" s="47"/>
      <c r="G45" s="47"/>
      <c r="H45" s="87">
        <v>0.82764028000000001</v>
      </c>
      <c r="I45" s="87">
        <v>8.4677431700000021</v>
      </c>
      <c r="J45" s="87">
        <v>6.7715544800000007</v>
      </c>
      <c r="K45" s="87">
        <v>12.052448819999999</v>
      </c>
      <c r="L45" s="87">
        <v>18.008870459999997</v>
      </c>
      <c r="M45" s="87">
        <v>18.7</v>
      </c>
      <c r="N45" s="87">
        <v>21.6</v>
      </c>
      <c r="O45" s="87">
        <v>37.5</v>
      </c>
      <c r="P45" s="87">
        <v>46.9</v>
      </c>
    </row>
  </sheetData>
  <hyperlinks>
    <hyperlink ref="P1" location="Indice!A1" display="Voltar" xr:uid="{39427467-16C6-4F15-ADDA-E91C557E8131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36DD-919C-40B2-9B23-9AC16BCA998A}">
  <dimension ref="C1:AC27"/>
  <sheetViews>
    <sheetView showGridLines="0" zoomScale="85" zoomScaleNormal="85" workbookViewId="0">
      <pane xSplit="4" ySplit="3" topLeftCell="H10" activePane="bottomRight" state="frozen"/>
      <selection activeCell="G17" sqref="G17"/>
      <selection pane="topRight" activeCell="G17" sqref="G17"/>
      <selection pane="bottomLeft" activeCell="G17" sqref="G17"/>
      <selection pane="bottomRight" activeCell="T28" sqref="T28"/>
    </sheetView>
  </sheetViews>
  <sheetFormatPr defaultRowHeight="14.4" x14ac:dyDescent="0.3"/>
  <cols>
    <col min="3" max="3" width="41.109375" style="7" bestFit="1" customWidth="1"/>
    <col min="4" max="4" width="9.109375" style="7"/>
    <col min="5" max="7" width="9" style="7" bestFit="1" customWidth="1"/>
    <col min="8" max="8" width="9.6640625" style="7" customWidth="1"/>
    <col min="9" max="10" width="9" style="7" bestFit="1" customWidth="1"/>
    <col min="11" max="11" width="9.44140625" style="7" bestFit="1" customWidth="1"/>
    <col min="12" max="12" width="12" style="7" bestFit="1" customWidth="1"/>
    <col min="13" max="16" width="9.109375" style="7" customWidth="1"/>
    <col min="17" max="17" width="9.109375" style="7"/>
    <col min="18" max="18" width="8.109375" style="7" bestFit="1" customWidth="1"/>
    <col min="19" max="21" width="9.6640625" style="7" bestFit="1" customWidth="1"/>
    <col min="22" max="22" width="8.109375" style="7" bestFit="1" customWidth="1"/>
    <col min="23" max="25" width="9.6640625" bestFit="1" customWidth="1"/>
  </cols>
  <sheetData>
    <row r="1" spans="3:29" x14ac:dyDescent="0.3">
      <c r="M1" s="30"/>
      <c r="P1" s="30" t="s">
        <v>62</v>
      </c>
    </row>
    <row r="2" spans="3:29" x14ac:dyDescent="0.3">
      <c r="C2" s="1" t="s">
        <v>94</v>
      </c>
      <c r="D2" s="1"/>
      <c r="E2" s="96" t="s">
        <v>59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96" t="s">
        <v>58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3:29" x14ac:dyDescent="0.3">
      <c r="C3" s="6"/>
      <c r="D3" s="6"/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6</v>
      </c>
      <c r="K3" s="6" t="s">
        <v>7</v>
      </c>
      <c r="L3" s="6" t="s">
        <v>8</v>
      </c>
      <c r="M3" s="6" t="s">
        <v>152</v>
      </c>
      <c r="N3" s="6" t="s">
        <v>160</v>
      </c>
      <c r="O3" s="6" t="s">
        <v>183</v>
      </c>
      <c r="P3" s="6" t="s">
        <v>187</v>
      </c>
      <c r="R3" s="6" t="s">
        <v>51</v>
      </c>
      <c r="S3" s="6" t="s">
        <v>50</v>
      </c>
      <c r="T3" s="6" t="s">
        <v>52</v>
      </c>
      <c r="U3" s="6" t="s">
        <v>53</v>
      </c>
      <c r="V3" s="6" t="s">
        <v>54</v>
      </c>
      <c r="W3" s="6" t="s">
        <v>55</v>
      </c>
      <c r="X3" s="6" t="s">
        <v>56</v>
      </c>
      <c r="Y3" s="6" t="s">
        <v>57</v>
      </c>
      <c r="Z3" s="6" t="s">
        <v>153</v>
      </c>
      <c r="AA3" s="6" t="s">
        <v>162</v>
      </c>
      <c r="AB3" s="6" t="s">
        <v>184</v>
      </c>
      <c r="AC3" s="6" t="s">
        <v>190</v>
      </c>
    </row>
    <row r="4" spans="3:29" x14ac:dyDescent="0.3">
      <c r="E4" s="8"/>
      <c r="F4" s="8"/>
      <c r="G4" s="8"/>
      <c r="H4" s="8"/>
      <c r="I4" s="8"/>
      <c r="J4" s="8"/>
      <c r="K4" s="8"/>
      <c r="L4" s="8"/>
    </row>
    <row r="5" spans="3:29" x14ac:dyDescent="0.3">
      <c r="C5" s="11" t="s">
        <v>192</v>
      </c>
    </row>
    <row r="6" spans="3:29" x14ac:dyDescent="0.3">
      <c r="C6" s="9" t="s">
        <v>82</v>
      </c>
      <c r="D6" s="9"/>
      <c r="E6" s="77">
        <v>574.55735063560792</v>
      </c>
      <c r="F6" s="77">
        <v>614.10880875467194</v>
      </c>
      <c r="G6" s="77">
        <v>698.26059072667442</v>
      </c>
      <c r="H6" s="77">
        <v>925.17201684888914</v>
      </c>
      <c r="I6" s="77">
        <v>678.19250841896269</v>
      </c>
      <c r="J6" s="77">
        <v>669.20539990481382</v>
      </c>
      <c r="K6" s="77">
        <v>1044.1399532061419</v>
      </c>
      <c r="L6" s="77">
        <v>1173.2137724614088</v>
      </c>
      <c r="M6" s="77">
        <v>837.28909082703058</v>
      </c>
      <c r="N6" s="77">
        <v>1188.4000000000001</v>
      </c>
      <c r="O6" s="77">
        <v>1110.9298783033844</v>
      </c>
      <c r="P6" s="77">
        <v>1207.7132416661725</v>
      </c>
      <c r="Q6" s="80"/>
      <c r="R6" s="81">
        <f>SUM($E6:E6)</f>
        <v>574.55735063560792</v>
      </c>
      <c r="S6" s="81">
        <f>SUM($E6:F6)</f>
        <v>1188.66615939028</v>
      </c>
      <c r="T6" s="81">
        <f>SUM($E6:G6)</f>
        <v>1886.9267501169543</v>
      </c>
      <c r="U6" s="81">
        <f>SUM($E6:H6)</f>
        <v>2812.0987669658434</v>
      </c>
      <c r="V6" s="81">
        <f>SUM($I6:I6)</f>
        <v>678.19250841896269</v>
      </c>
      <c r="W6" s="81">
        <f>SUM($I6:J6)</f>
        <v>1347.3979083237764</v>
      </c>
      <c r="X6" s="81">
        <f>SUM($I6:K6)</f>
        <v>2391.5378615299182</v>
      </c>
      <c r="Y6" s="81">
        <f>SUM($I6:L6)</f>
        <v>3564.7516339913273</v>
      </c>
      <c r="Z6" s="81">
        <f>M6</f>
        <v>837.28909082703058</v>
      </c>
      <c r="AA6" s="81">
        <f>SUM($M6:N6)</f>
        <v>2025.6890908270307</v>
      </c>
      <c r="AB6" s="81">
        <f>SUM($M6:O6)</f>
        <v>3136.6189691304153</v>
      </c>
      <c r="AC6" s="81">
        <f>SUM($M6:P6)</f>
        <v>4344.3322107965878</v>
      </c>
    </row>
    <row r="7" spans="3:29" x14ac:dyDescent="0.3">
      <c r="C7" s="9" t="s">
        <v>84</v>
      </c>
      <c r="D7" s="9"/>
      <c r="E7" s="77">
        <v>104.42377100417602</v>
      </c>
      <c r="F7" s="77">
        <v>193.11576766472581</v>
      </c>
      <c r="G7" s="77">
        <v>170.21669018432132</v>
      </c>
      <c r="H7" s="77">
        <v>180.15888618847424</v>
      </c>
      <c r="I7" s="77">
        <v>94.364655782126718</v>
      </c>
      <c r="J7" s="77">
        <v>30.042269109497095</v>
      </c>
      <c r="K7" s="77">
        <v>146.99933619118696</v>
      </c>
      <c r="L7" s="77">
        <v>187.63070850888269</v>
      </c>
      <c r="M7" s="77">
        <v>117.0247985033204</v>
      </c>
      <c r="N7" s="77">
        <v>127.1</v>
      </c>
      <c r="O7" s="77">
        <v>133.02109955304294</v>
      </c>
      <c r="P7" s="77">
        <v>173.20048094524384</v>
      </c>
      <c r="Q7" s="80"/>
      <c r="R7" s="81">
        <f>SUM($E7:E7)</f>
        <v>104.42377100417602</v>
      </c>
      <c r="S7" s="81">
        <f>SUM($E7:F7)</f>
        <v>297.53953866890186</v>
      </c>
      <c r="T7" s="81">
        <f>SUM($E7:G7)</f>
        <v>467.75622885322321</v>
      </c>
      <c r="U7" s="81">
        <f>SUM($E7:H7)</f>
        <v>647.91511504169739</v>
      </c>
      <c r="V7" s="81">
        <f>SUM($I7:I7)</f>
        <v>94.364655782126718</v>
      </c>
      <c r="W7" s="81">
        <f>SUM($I7:J7)</f>
        <v>124.40692489162382</v>
      </c>
      <c r="X7" s="81">
        <f>SUM($I7:K7)</f>
        <v>271.40626108281077</v>
      </c>
      <c r="Y7" s="81">
        <f>SUM($I7:L7)</f>
        <v>459.03696959169349</v>
      </c>
      <c r="Z7" s="81">
        <f t="shared" ref="Z7:Z8" si="0">M7</f>
        <v>117.0247985033204</v>
      </c>
      <c r="AA7" s="81">
        <f>SUM($M7:N7)</f>
        <v>244.12479850332039</v>
      </c>
      <c r="AB7" s="81">
        <f>SUM($M7:O7)</f>
        <v>377.14589805636331</v>
      </c>
      <c r="AC7" s="81">
        <f>SUM($M7:P7)</f>
        <v>550.34637900160715</v>
      </c>
    </row>
    <row r="8" spans="3:29" ht="15" thickBot="1" x14ac:dyDescent="0.35">
      <c r="C8" s="22" t="s">
        <v>83</v>
      </c>
      <c r="D8" s="22"/>
      <c r="E8" s="78">
        <v>44.928896381591102</v>
      </c>
      <c r="F8" s="78">
        <v>59.598450560602402</v>
      </c>
      <c r="G8" s="78">
        <v>70.820746819004</v>
      </c>
      <c r="H8" s="78">
        <v>75.909277498036488</v>
      </c>
      <c r="I8" s="78">
        <v>62.26075815891069</v>
      </c>
      <c r="J8" s="78">
        <v>130.78580499568923</v>
      </c>
      <c r="K8" s="78">
        <v>210.17986504267088</v>
      </c>
      <c r="L8" s="78">
        <v>295.39801853510852</v>
      </c>
      <c r="M8" s="78">
        <v>173.24914693964936</v>
      </c>
      <c r="N8" s="78">
        <v>211.8</v>
      </c>
      <c r="O8" s="78">
        <v>182.58101690887111</v>
      </c>
      <c r="P8" s="78">
        <v>360.32625928845516</v>
      </c>
      <c r="Q8" s="80"/>
      <c r="R8" s="82">
        <f>SUM($E8:E8)</f>
        <v>44.928896381591102</v>
      </c>
      <c r="S8" s="82">
        <f>SUM($E8:F8)</f>
        <v>104.5273469421935</v>
      </c>
      <c r="T8" s="82">
        <f>SUM($E8:G8)</f>
        <v>175.3480937611975</v>
      </c>
      <c r="U8" s="82">
        <f>SUM($E8:H8)</f>
        <v>251.25737125923399</v>
      </c>
      <c r="V8" s="82">
        <f>SUM($I8:I8)</f>
        <v>62.26075815891069</v>
      </c>
      <c r="W8" s="82">
        <f>SUM($I8:J8)</f>
        <v>193.04656315459994</v>
      </c>
      <c r="X8" s="82">
        <f>SUM($I8:K8)</f>
        <v>403.22642819727082</v>
      </c>
      <c r="Y8" s="82">
        <f>SUM($I8:L8)</f>
        <v>698.62444673237928</v>
      </c>
      <c r="Z8" s="82">
        <f t="shared" si="0"/>
        <v>173.24914693964936</v>
      </c>
      <c r="AA8" s="82">
        <f>SUM($M8:N8)</f>
        <v>385.0491469396494</v>
      </c>
      <c r="AB8" s="82">
        <f>SUM($M8:O8)</f>
        <v>567.63016384852051</v>
      </c>
      <c r="AC8" s="82">
        <f>SUM($M8:P8)</f>
        <v>927.95642313697567</v>
      </c>
    </row>
    <row r="9" spans="3:29" s="64" customFormat="1" ht="15" thickTop="1" x14ac:dyDescent="0.3">
      <c r="C9" s="62" t="s">
        <v>68</v>
      </c>
      <c r="D9" s="62"/>
      <c r="E9" s="79">
        <f>SUM(E6:E8)</f>
        <v>723.91001802137509</v>
      </c>
      <c r="F9" s="79">
        <f t="shared" ref="F9:M9" si="1">SUM(F6:F8)</f>
        <v>866.82302698000012</v>
      </c>
      <c r="G9" s="79">
        <f t="shared" si="1"/>
        <v>939.29802772999983</v>
      </c>
      <c r="H9" s="79">
        <f t="shared" si="1"/>
        <v>1181.2401805354</v>
      </c>
      <c r="I9" s="79">
        <f t="shared" si="1"/>
        <v>834.81792236000013</v>
      </c>
      <c r="J9" s="79">
        <f t="shared" si="1"/>
        <v>830.03347401000008</v>
      </c>
      <c r="K9" s="79">
        <f t="shared" si="1"/>
        <v>1401.3191544399997</v>
      </c>
      <c r="L9" s="79">
        <f t="shared" si="1"/>
        <v>1656.2424995054</v>
      </c>
      <c r="M9" s="79">
        <f t="shared" si="1"/>
        <v>1127.5630362700003</v>
      </c>
      <c r="N9" s="79">
        <f>SUM(N6:N8)</f>
        <v>1527.3</v>
      </c>
      <c r="O9" s="79">
        <f>SUM(O6:O8)</f>
        <v>1426.5319947652984</v>
      </c>
      <c r="P9" s="79">
        <f>SUM(P6:P8)</f>
        <v>1741.2399818998715</v>
      </c>
      <c r="Q9" s="83"/>
      <c r="R9" s="84">
        <f>SUM($E9:E9)</f>
        <v>723.91001802137509</v>
      </c>
      <c r="S9" s="84">
        <f>SUM($E9:F9)</f>
        <v>1590.7330450013751</v>
      </c>
      <c r="T9" s="84">
        <f>SUM($E9:G9)</f>
        <v>2530.0310727313749</v>
      </c>
      <c r="U9" s="84">
        <f>SUM($E9:H9)</f>
        <v>3711.2712532667747</v>
      </c>
      <c r="V9" s="84">
        <f>SUM($I9:I9)</f>
        <v>834.81792236000013</v>
      </c>
      <c r="W9" s="84">
        <f>SUM($I9:J9)</f>
        <v>1664.8513963700002</v>
      </c>
      <c r="X9" s="84">
        <f>SUM($I9:K9)</f>
        <v>3066.1705508099999</v>
      </c>
      <c r="Y9" s="84">
        <f>SUM($I9:L9)</f>
        <v>4722.4130503154001</v>
      </c>
      <c r="Z9" s="84">
        <f>Z7+Z8+Z6</f>
        <v>1127.5630362700003</v>
      </c>
      <c r="AA9" s="84">
        <f>AA7+AA8+AA6</f>
        <v>2654.8630362700005</v>
      </c>
      <c r="AB9" s="84">
        <f>AB7+AB8+AB6</f>
        <v>4081.3950310352993</v>
      </c>
      <c r="AC9" s="84">
        <f>AC7+AC8+AC6</f>
        <v>5822.6350129351704</v>
      </c>
    </row>
    <row r="10" spans="3:29" s="4" customFormat="1" x14ac:dyDescent="0.3">
      <c r="C10" s="61"/>
      <c r="D10" s="61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</row>
    <row r="11" spans="3:29" x14ac:dyDescent="0.3">
      <c r="C11" s="11" t="s">
        <v>92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7"/>
      <c r="X11" s="87"/>
      <c r="Y11" s="87"/>
      <c r="Z11" s="87"/>
      <c r="AA11" s="87"/>
      <c r="AB11" s="87"/>
      <c r="AC11" s="87"/>
    </row>
    <row r="12" spans="3:29" x14ac:dyDescent="0.3">
      <c r="C12" s="9" t="s">
        <v>82</v>
      </c>
      <c r="D12" s="9"/>
      <c r="E12" s="77">
        <f>-(E6-E17)</f>
        <v>-519.50493415836104</v>
      </c>
      <c r="F12" s="77">
        <f t="shared" ref="F12:L12" si="2">-(F6-F17)</f>
        <v>-553.52037323877323</v>
      </c>
      <c r="G12" s="77">
        <f t="shared" si="2"/>
        <v>-632.67883545387667</v>
      </c>
      <c r="H12" s="77">
        <f t="shared" si="2"/>
        <v>-841.78993309412476</v>
      </c>
      <c r="I12" s="77">
        <f t="shared" si="2"/>
        <v>-615.49254097267101</v>
      </c>
      <c r="J12" s="77">
        <f t="shared" si="2"/>
        <v>-599.81943693126084</v>
      </c>
      <c r="K12" s="77">
        <f t="shared" si="2"/>
        <v>-922.12094854205645</v>
      </c>
      <c r="L12" s="77">
        <f t="shared" si="2"/>
        <v>-1037.5408732350388</v>
      </c>
      <c r="M12" s="77">
        <f t="shared" ref="M12" si="3">-(M6-M17)</f>
        <v>-745.12902704384112</v>
      </c>
      <c r="N12" s="77">
        <f>-(N6-N17)</f>
        <v>-1059.5</v>
      </c>
      <c r="O12" s="77">
        <f>-(O6-O17)</f>
        <v>-985.55936873897235</v>
      </c>
      <c r="P12" s="77">
        <f>-(P6-P17)</f>
        <v>-1085.4700395339169</v>
      </c>
      <c r="Q12" s="80"/>
      <c r="R12" s="81">
        <f>SUM($E12:E12)</f>
        <v>-519.50493415836104</v>
      </c>
      <c r="S12" s="81">
        <f>SUM($E12:F12)</f>
        <v>-1073.0253073971344</v>
      </c>
      <c r="T12" s="81">
        <f>SUM($E12:G12)</f>
        <v>-1705.7041428510111</v>
      </c>
      <c r="U12" s="81">
        <f>SUM($E12:H12)</f>
        <v>-2547.4940759451356</v>
      </c>
      <c r="V12" s="81">
        <f>SUM($I12:I12)</f>
        <v>-615.49254097267101</v>
      </c>
      <c r="W12" s="81">
        <f>SUM($I12:J12)</f>
        <v>-1215.3119779039318</v>
      </c>
      <c r="X12" s="81">
        <f>SUM($I12:K12)</f>
        <v>-2137.4329264459884</v>
      </c>
      <c r="Y12" s="81">
        <f>SUM($I12:L12)</f>
        <v>-3174.9737996810272</v>
      </c>
      <c r="Z12" s="81">
        <f t="shared" ref="Z12:Z13" si="4">M12</f>
        <v>-745.12902704384112</v>
      </c>
      <c r="AA12" s="81">
        <f>SUM($M12:N12)</f>
        <v>-1804.6290270438412</v>
      </c>
      <c r="AB12" s="81">
        <f>SUM($M12:O12)</f>
        <v>-2790.1883957828136</v>
      </c>
      <c r="AC12" s="81">
        <f>SUM($M12:P12)</f>
        <v>-3875.6584353167304</v>
      </c>
    </row>
    <row r="13" spans="3:29" ht="15" thickBot="1" x14ac:dyDescent="0.35">
      <c r="C13" s="22" t="s">
        <v>93</v>
      </c>
      <c r="D13" s="22"/>
      <c r="E13" s="78">
        <f>-(E7+E8-E18)</f>
        <v>-88.11605549760138</v>
      </c>
      <c r="F13" s="78">
        <f t="shared" ref="F13:L13" si="5">-(F7+F8-F18)</f>
        <v>-153.96267800923451</v>
      </c>
      <c r="G13" s="78">
        <f t="shared" si="5"/>
        <v>-159.50919204991413</v>
      </c>
      <c r="H13" s="78">
        <f t="shared" si="5"/>
        <v>-176.53466720415184</v>
      </c>
      <c r="I13" s="78">
        <f t="shared" si="5"/>
        <v>-107.60061537347286</v>
      </c>
      <c r="J13" s="78">
        <f t="shared" si="5"/>
        <v>-110.87276711107049</v>
      </c>
      <c r="K13" s="78">
        <f t="shared" si="5"/>
        <v>-241.94542355566375</v>
      </c>
      <c r="L13" s="78">
        <f t="shared" si="5"/>
        <v>-348.7414896432374</v>
      </c>
      <c r="M13" s="78">
        <f t="shared" ref="M13:N13" si="6">-(M7+M8-M18)</f>
        <v>-202.13597541615894</v>
      </c>
      <c r="N13" s="78">
        <f t="shared" si="6"/>
        <v>-246.89999999999998</v>
      </c>
      <c r="O13" s="78">
        <f t="shared" ref="O13:P13" si="7">-(O7+O8-O18)</f>
        <v>-226.62758540102783</v>
      </c>
      <c r="P13" s="78">
        <f t="shared" si="7"/>
        <v>-379.45496242163222</v>
      </c>
      <c r="Q13" s="80"/>
      <c r="R13" s="82">
        <f>SUM($E13:E13)</f>
        <v>-88.11605549760138</v>
      </c>
      <c r="S13" s="82">
        <f>SUM($E13:F13)</f>
        <v>-242.07873350683587</v>
      </c>
      <c r="T13" s="82">
        <f>SUM($E13:G13)</f>
        <v>-401.58792555675001</v>
      </c>
      <c r="U13" s="82">
        <f>SUM($E13:H13)</f>
        <v>-578.12259276090185</v>
      </c>
      <c r="V13" s="82">
        <f>SUM($I13:I13)</f>
        <v>-107.60061537347286</v>
      </c>
      <c r="W13" s="82">
        <f>SUM($I13:J13)</f>
        <v>-218.47338248454335</v>
      </c>
      <c r="X13" s="82">
        <f>SUM($I13:K13)</f>
        <v>-460.41880604020707</v>
      </c>
      <c r="Y13" s="82">
        <f>SUM($I13:L13)</f>
        <v>-809.16029568344447</v>
      </c>
      <c r="Z13" s="82">
        <f t="shared" si="4"/>
        <v>-202.13597541615894</v>
      </c>
      <c r="AA13" s="82">
        <f>SUM($M13:N13)</f>
        <v>-449.03597541615892</v>
      </c>
      <c r="AB13" s="82">
        <f>SUM($M13:O13)</f>
        <v>-675.66356081718675</v>
      </c>
      <c r="AC13" s="82">
        <f>SUM($M13:P13)</f>
        <v>-1055.1185232388189</v>
      </c>
    </row>
    <row r="14" spans="3:29" s="65" customFormat="1" ht="15" thickTop="1" x14ac:dyDescent="0.3">
      <c r="C14" s="62" t="s">
        <v>68</v>
      </c>
      <c r="D14" s="62"/>
      <c r="E14" s="79">
        <f>SUM(E12:E13)</f>
        <v>-607.62098965596238</v>
      </c>
      <c r="F14" s="79">
        <f t="shared" ref="F14:L14" si="8">SUM(F12:F13)</f>
        <v>-707.48305124800777</v>
      </c>
      <c r="G14" s="79">
        <f t="shared" si="8"/>
        <v>-792.18802750379086</v>
      </c>
      <c r="H14" s="79">
        <f t="shared" si="8"/>
        <v>-1018.3246002982767</v>
      </c>
      <c r="I14" s="79">
        <f t="shared" si="8"/>
        <v>-723.09315634614381</v>
      </c>
      <c r="J14" s="79">
        <f t="shared" si="8"/>
        <v>-710.69220404233135</v>
      </c>
      <c r="K14" s="79">
        <f t="shared" si="8"/>
        <v>-1164.0663720977202</v>
      </c>
      <c r="L14" s="79">
        <f t="shared" si="8"/>
        <v>-1386.2823628782762</v>
      </c>
      <c r="M14" s="79">
        <f t="shared" ref="M14:N14" si="9">SUM(M12:M13)</f>
        <v>-947.26500246000001</v>
      </c>
      <c r="N14" s="79">
        <f t="shared" si="9"/>
        <v>-1306.4000000000001</v>
      </c>
      <c r="O14" s="79">
        <f t="shared" ref="O14:P14" si="10">SUM(O12:O13)</f>
        <v>-1212.1869541400001</v>
      </c>
      <c r="P14" s="79">
        <f t="shared" si="10"/>
        <v>-1464.9250019555491</v>
      </c>
      <c r="Q14" s="84"/>
      <c r="R14" s="84">
        <f>SUM($E14:E14)</f>
        <v>-607.62098965596238</v>
      </c>
      <c r="S14" s="84">
        <f>SUM($E14:F14)</f>
        <v>-1315.1040409039701</v>
      </c>
      <c r="T14" s="84">
        <f>SUM($E14:G14)</f>
        <v>-2107.2920684077608</v>
      </c>
      <c r="U14" s="84">
        <f>SUM($E14:H14)</f>
        <v>-3125.6166687060377</v>
      </c>
      <c r="V14" s="84">
        <f>SUM($I14:I14)</f>
        <v>-723.09315634614381</v>
      </c>
      <c r="W14" s="84">
        <f>SUM($I14:J14)</f>
        <v>-1433.7853603884751</v>
      </c>
      <c r="X14" s="84">
        <f>SUM($I14:K14)</f>
        <v>-2597.851732486195</v>
      </c>
      <c r="Y14" s="84">
        <f>SUM($I14:L14)</f>
        <v>-3984.1340953644712</v>
      </c>
      <c r="Z14" s="84">
        <f>Z12+Z13</f>
        <v>-947.26500246000001</v>
      </c>
      <c r="AA14" s="84">
        <f>AA12+AA13</f>
        <v>-2253.6650024600003</v>
      </c>
      <c r="AB14" s="84">
        <f>AB12+AB13</f>
        <v>-3465.8519566000004</v>
      </c>
      <c r="AC14" s="84">
        <f>AC12+AC13</f>
        <v>-4930.7769585555488</v>
      </c>
    </row>
    <row r="15" spans="3:29" s="65" customFormat="1" x14ac:dyDescent="0.3">
      <c r="C15" s="62"/>
      <c r="D15" s="6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3:29" s="65" customFormat="1" x14ac:dyDescent="0.3">
      <c r="C16" s="62" t="s">
        <v>193</v>
      </c>
      <c r="D16" s="62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3:29" s="65" customFormat="1" x14ac:dyDescent="0.3">
      <c r="C17" s="9" t="s">
        <v>82</v>
      </c>
      <c r="D17" s="9"/>
      <c r="E17" s="77">
        <v>55.052416477246922</v>
      </c>
      <c r="F17" s="77">
        <v>60.588435515898702</v>
      </c>
      <c r="G17" s="77">
        <v>65.581755272797807</v>
      </c>
      <c r="H17" s="77">
        <v>83.382083754764423</v>
      </c>
      <c r="I17" s="77">
        <v>62.699967446291659</v>
      </c>
      <c r="J17" s="77">
        <v>69.385962973553021</v>
      </c>
      <c r="K17" s="77">
        <v>122.01900466408536</v>
      </c>
      <c r="L17" s="77">
        <v>135.67289922636999</v>
      </c>
      <c r="M17" s="77">
        <v>92.160063783189472</v>
      </c>
      <c r="N17" s="77">
        <v>128.9</v>
      </c>
      <c r="O17" s="77">
        <v>125.37050956441209</v>
      </c>
      <c r="P17" s="77">
        <v>122.24320213225566</v>
      </c>
      <c r="Q17" s="84"/>
      <c r="R17" s="81">
        <f>SUM($E17:E17)</f>
        <v>55.052416477246922</v>
      </c>
      <c r="S17" s="81">
        <f>SUM($E17:F17)</f>
        <v>115.64085199314562</v>
      </c>
      <c r="T17" s="81">
        <f>SUM($E17:G17)</f>
        <v>181.22260726594342</v>
      </c>
      <c r="U17" s="81">
        <f>SUM($E17:H17)</f>
        <v>264.60469102070783</v>
      </c>
      <c r="V17" s="81">
        <f>SUM($I17:I17)</f>
        <v>62.699967446291659</v>
      </c>
      <c r="W17" s="81">
        <f>SUM($I17:J17)</f>
        <v>132.08593041984469</v>
      </c>
      <c r="X17" s="81">
        <f>SUM($I17:K17)</f>
        <v>254.10493508393006</v>
      </c>
      <c r="Y17" s="81">
        <f>SUM($I17:L17)</f>
        <v>389.77783431030002</v>
      </c>
      <c r="Z17" s="81">
        <f t="shared" ref="Z17:Z18" si="11">M17</f>
        <v>92.160063783189472</v>
      </c>
      <c r="AA17" s="81">
        <f>SUM($M17:N17)</f>
        <v>221.06006378318949</v>
      </c>
      <c r="AB17" s="81">
        <f>SUM($M17:O17)</f>
        <v>346.43057334760158</v>
      </c>
      <c r="AC17" s="81">
        <f>SUM($M17:P17)</f>
        <v>468.67377547985723</v>
      </c>
    </row>
    <row r="18" spans="3:29" s="65" customFormat="1" ht="15" thickBot="1" x14ac:dyDescent="0.35">
      <c r="C18" s="22" t="s">
        <v>93</v>
      </c>
      <c r="D18" s="22"/>
      <c r="E18" s="78">
        <v>61.23661188816574</v>
      </c>
      <c r="F18" s="78">
        <v>98.751540216093701</v>
      </c>
      <c r="G18" s="78">
        <v>81.528244953411189</v>
      </c>
      <c r="H18" s="78">
        <v>79.533496482358885</v>
      </c>
      <c r="I18" s="78">
        <v>49.024798567564552</v>
      </c>
      <c r="J18" s="78">
        <v>49.95530699411583</v>
      </c>
      <c r="K18" s="78">
        <v>115.23377767819409</v>
      </c>
      <c r="L18" s="78">
        <v>134.28723740075384</v>
      </c>
      <c r="M18" s="78">
        <v>88.137970026810819</v>
      </c>
      <c r="N18" s="78">
        <v>92</v>
      </c>
      <c r="O18" s="78">
        <v>88.97453106088625</v>
      </c>
      <c r="P18" s="78">
        <v>154.07177781206681</v>
      </c>
      <c r="Q18" s="84"/>
      <c r="R18" s="82">
        <f>SUM($E18:E18)</f>
        <v>61.23661188816574</v>
      </c>
      <c r="S18" s="82">
        <f>SUM($E18:F18)</f>
        <v>159.98815210425943</v>
      </c>
      <c r="T18" s="82">
        <f>SUM($E18:G18)</f>
        <v>241.51639705767062</v>
      </c>
      <c r="U18" s="82">
        <f>SUM($E18:H18)</f>
        <v>321.04989354002953</v>
      </c>
      <c r="V18" s="82">
        <f>SUM($I18:I18)</f>
        <v>49.024798567564552</v>
      </c>
      <c r="W18" s="82">
        <f>SUM($I18:J18)</f>
        <v>98.980105561680375</v>
      </c>
      <c r="X18" s="82">
        <f>SUM($I18:K18)</f>
        <v>214.21388323987446</v>
      </c>
      <c r="Y18" s="82">
        <f>SUM($I18:L18)</f>
        <v>348.5011206406283</v>
      </c>
      <c r="Z18" s="82">
        <f t="shared" si="11"/>
        <v>88.137970026810819</v>
      </c>
      <c r="AA18" s="82">
        <f>SUM($M18:N18)</f>
        <v>180.13797002681082</v>
      </c>
      <c r="AB18" s="82">
        <f>SUM($M18:O18)</f>
        <v>269.11250108769707</v>
      </c>
      <c r="AC18" s="82">
        <f>SUM($M18:P18)</f>
        <v>423.18427889976385</v>
      </c>
    </row>
    <row r="19" spans="3:29" s="65" customFormat="1" ht="15" thickTop="1" x14ac:dyDescent="0.3">
      <c r="C19" s="62" t="s">
        <v>68</v>
      </c>
      <c r="D19" s="62"/>
      <c r="E19" s="79">
        <f>SUM(E17:E18)</f>
        <v>116.28902836541266</v>
      </c>
      <c r="F19" s="79">
        <f t="shared" ref="F19:P19" si="12">SUM(F17:F18)</f>
        <v>159.33997573199241</v>
      </c>
      <c r="G19" s="79">
        <f t="shared" si="12"/>
        <v>147.110000226209</v>
      </c>
      <c r="H19" s="79">
        <f t="shared" si="12"/>
        <v>162.91558023712332</v>
      </c>
      <c r="I19" s="79">
        <f t="shared" si="12"/>
        <v>111.72476601385621</v>
      </c>
      <c r="J19" s="79">
        <f t="shared" si="12"/>
        <v>119.34126996766885</v>
      </c>
      <c r="K19" s="79">
        <f t="shared" si="12"/>
        <v>237.25278234227943</v>
      </c>
      <c r="L19" s="79">
        <f t="shared" si="12"/>
        <v>269.9601366271238</v>
      </c>
      <c r="M19" s="79">
        <f t="shared" si="12"/>
        <v>180.29803381000028</v>
      </c>
      <c r="N19" s="79">
        <f t="shared" si="12"/>
        <v>220.9</v>
      </c>
      <c r="O19" s="79">
        <f t="shared" si="12"/>
        <v>214.34504062529834</v>
      </c>
      <c r="P19" s="79">
        <f t="shared" si="12"/>
        <v>276.31497994432249</v>
      </c>
      <c r="Q19" s="84"/>
      <c r="R19" s="84">
        <f>SUM($E19:E19)</f>
        <v>116.28902836541266</v>
      </c>
      <c r="S19" s="84">
        <f>SUM($E19:F19)</f>
        <v>275.62900409740507</v>
      </c>
      <c r="T19" s="84">
        <f>SUM($E19:G19)</f>
        <v>422.73900432361404</v>
      </c>
      <c r="U19" s="84">
        <f>SUM($E19:H19)</f>
        <v>585.65458456073736</v>
      </c>
      <c r="V19" s="84">
        <f>SUM($I19:I19)</f>
        <v>111.72476601385621</v>
      </c>
      <c r="W19" s="84">
        <f>SUM($I19:J19)</f>
        <v>231.06603598152506</v>
      </c>
      <c r="X19" s="84">
        <f>SUM($I19:K19)</f>
        <v>468.31881832380452</v>
      </c>
      <c r="Y19" s="84">
        <f>SUM($I19:L19)</f>
        <v>738.27895495092832</v>
      </c>
      <c r="Z19" s="84">
        <f>Z17+Z18</f>
        <v>180.29803381000028</v>
      </c>
      <c r="AA19" s="84">
        <f>AA17+AA18</f>
        <v>401.19803381000031</v>
      </c>
      <c r="AB19" s="84">
        <f>AB17+AB18</f>
        <v>615.54307443529865</v>
      </c>
      <c r="AC19" s="84">
        <f>AC17+AC18</f>
        <v>891.85805437962108</v>
      </c>
    </row>
    <row r="20" spans="3:29" s="66" customFormat="1" x14ac:dyDescent="0.3"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0"/>
      <c r="S20" s="20"/>
      <c r="T20" s="20"/>
      <c r="U20" s="20"/>
      <c r="V20" s="20"/>
    </row>
    <row r="21" spans="3:29" x14ac:dyDescent="0.3">
      <c r="C21" s="11" t="s">
        <v>194</v>
      </c>
    </row>
    <row r="22" spans="3:29" x14ac:dyDescent="0.3">
      <c r="C22" s="14" t="s">
        <v>82</v>
      </c>
      <c r="D22" s="14"/>
      <c r="E22" s="46">
        <f>IFERROR(E17/E$6,"")</f>
        <v>9.5817095397604468E-2</v>
      </c>
      <c r="F22" s="46">
        <f t="shared" ref="F22:L22" si="13">IFERROR(F17/F$6,"")</f>
        <v>9.8660749776189827E-2</v>
      </c>
      <c r="G22" s="46">
        <f t="shared" si="13"/>
        <v>9.3921604833157465E-2</v>
      </c>
      <c r="H22" s="46">
        <f t="shared" si="13"/>
        <v>9.0126033036279612E-2</v>
      </c>
      <c r="I22" s="46">
        <f t="shared" si="13"/>
        <v>9.2451577786462208E-2</v>
      </c>
      <c r="J22" s="46">
        <f t="shared" si="13"/>
        <v>0.10368410503475063</v>
      </c>
      <c r="K22" s="46">
        <f t="shared" si="13"/>
        <v>0.11686077550180235</v>
      </c>
      <c r="L22" s="46">
        <f t="shared" si="13"/>
        <v>0.11564209559330993</v>
      </c>
      <c r="M22" s="46">
        <f t="shared" ref="M22:N22" si="14">IFERROR(M17/M$6,"")</f>
        <v>0.11006958623115291</v>
      </c>
      <c r="N22" s="46">
        <f t="shared" si="14"/>
        <v>0.10846516324469875</v>
      </c>
      <c r="O22" s="46">
        <f t="shared" ref="O22:P22" si="15">IFERROR(O17/O$6,"")</f>
        <v>0.11285186582242106</v>
      </c>
      <c r="P22" s="46">
        <f t="shared" si="15"/>
        <v>0.10121873133030139</v>
      </c>
      <c r="R22" s="46">
        <f t="shared" ref="R22:Y22" si="16">IFERROR(R17/R$6,"")</f>
        <v>9.5817095397604468E-2</v>
      </c>
      <c r="S22" s="46">
        <f t="shared" si="16"/>
        <v>9.728623220203643E-2</v>
      </c>
      <c r="T22" s="46">
        <f t="shared" si="16"/>
        <v>9.604114587633622E-2</v>
      </c>
      <c r="U22" s="46">
        <f t="shared" si="16"/>
        <v>9.4095091583930063E-2</v>
      </c>
      <c r="V22" s="46">
        <f t="shared" si="16"/>
        <v>9.2451577786462208E-2</v>
      </c>
      <c r="W22" s="46">
        <f t="shared" si="16"/>
        <v>9.8030381080348811E-2</v>
      </c>
      <c r="X22" s="46">
        <f t="shared" si="16"/>
        <v>0.10625168815908842</v>
      </c>
      <c r="Y22" s="46">
        <f t="shared" si="16"/>
        <v>0.10934221352018274</v>
      </c>
      <c r="Z22" s="46">
        <f t="shared" ref="Z22:AA22" si="17">IFERROR(Z17/Z$6,"")</f>
        <v>0.11006958623115291</v>
      </c>
      <c r="AA22" s="46">
        <f t="shared" si="17"/>
        <v>0.10912832812509102</v>
      </c>
      <c r="AB22" s="46">
        <f t="shared" ref="AB22:AC22" si="18">IFERROR(AB17/AB$6,"")</f>
        <v>0.11044713328493475</v>
      </c>
      <c r="AC22" s="46">
        <f t="shared" si="18"/>
        <v>0.10788166114808241</v>
      </c>
    </row>
    <row r="23" spans="3:29" ht="15" thickBot="1" x14ac:dyDescent="0.35">
      <c r="C23" s="22" t="s">
        <v>93</v>
      </c>
      <c r="D23" s="22"/>
      <c r="E23" s="67">
        <f>IFERROR(E18/(E8+E$7),"")</f>
        <v>0.41001351338437103</v>
      </c>
      <c r="F23" s="67">
        <f t="shared" ref="F23:L23" si="19">IFERROR(F18/(F8+F$7),"")</f>
        <v>0.39076368915675186</v>
      </c>
      <c r="G23" s="67">
        <f t="shared" si="19"/>
        <v>0.33823893071135847</v>
      </c>
      <c r="H23" s="67">
        <f t="shared" si="19"/>
        <v>0.31059502023737356</v>
      </c>
      <c r="I23" s="67">
        <f t="shared" si="19"/>
        <v>0.31300666561060286</v>
      </c>
      <c r="J23" s="67">
        <f t="shared" si="19"/>
        <v>0.31061310204736758</v>
      </c>
      <c r="K23" s="67">
        <f t="shared" si="19"/>
        <v>0.322621746395436</v>
      </c>
      <c r="L23" s="67">
        <f t="shared" si="19"/>
        <v>0.27801087157394638</v>
      </c>
      <c r="M23" s="67">
        <f t="shared" ref="M23:N23" si="20">IFERROR(M18/(M8+M$7),"")</f>
        <v>0.30363720688850915</v>
      </c>
      <c r="N23" s="67">
        <f t="shared" si="20"/>
        <v>0.27146650929477723</v>
      </c>
      <c r="O23" s="67">
        <f t="shared" ref="O23:P23" si="21">IFERROR(O18/(O8+O$7),"")</f>
        <v>0.28191994419537875</v>
      </c>
      <c r="P23" s="67">
        <f t="shared" si="21"/>
        <v>0.28877986086429192</v>
      </c>
      <c r="R23" s="67">
        <f t="shared" ref="R23:Y23" si="22">IFERROR(R18/(R8+R$7),"")</f>
        <v>0.41001351338437103</v>
      </c>
      <c r="S23" s="67">
        <f t="shared" si="22"/>
        <v>0.39791427205226282</v>
      </c>
      <c r="T23" s="67">
        <f t="shared" si="22"/>
        <v>0.37554777438881265</v>
      </c>
      <c r="U23" s="67">
        <f t="shared" si="22"/>
        <v>0.35705039737234784</v>
      </c>
      <c r="V23" s="67">
        <f t="shared" si="22"/>
        <v>0.31300666561060286</v>
      </c>
      <c r="W23" s="67">
        <f t="shared" si="22"/>
        <v>0.31179404003671896</v>
      </c>
      <c r="X23" s="67">
        <f t="shared" si="22"/>
        <v>0.3175266876979646</v>
      </c>
      <c r="Y23" s="67">
        <f t="shared" si="22"/>
        <v>0.30103890112121501</v>
      </c>
      <c r="Z23" s="67">
        <f t="shared" ref="Z23:AA23" si="23">IFERROR(Z18/(Z8+Z$7),"")</f>
        <v>0.30363720688850915</v>
      </c>
      <c r="AA23" s="67">
        <f t="shared" si="23"/>
        <v>0.28630869305941253</v>
      </c>
      <c r="AB23" s="67">
        <f t="shared" ref="AB23:AC23" si="24">IFERROR(AB18/(AB8+AB$7),"")</f>
        <v>0.28484263302046936</v>
      </c>
      <c r="AC23" s="67">
        <f t="shared" si="24"/>
        <v>0.28626359788235906</v>
      </c>
    </row>
    <row r="24" spans="3:29" s="64" customFormat="1" ht="15" thickTop="1" x14ac:dyDescent="0.3">
      <c r="C24" s="62" t="s">
        <v>68</v>
      </c>
      <c r="D24" s="63"/>
      <c r="E24" s="76">
        <f>IFERROR(E19/E$9,"")</f>
        <v>0.16064017000795114</v>
      </c>
      <c r="F24" s="76">
        <f t="shared" ref="F24:L24" si="25">IFERROR(F19/F$9,"")</f>
        <v>0.18382065401184688</v>
      </c>
      <c r="G24" s="76">
        <f t="shared" si="25"/>
        <v>0.1566169584979642</v>
      </c>
      <c r="H24" s="76">
        <f t="shared" si="25"/>
        <v>0.13791909801381921</v>
      </c>
      <c r="I24" s="76">
        <f t="shared" si="25"/>
        <v>0.13383129784518083</v>
      </c>
      <c r="J24" s="76">
        <f t="shared" si="25"/>
        <v>0.14377886399100942</v>
      </c>
      <c r="K24" s="76">
        <f t="shared" si="25"/>
        <v>0.1693067432858229</v>
      </c>
      <c r="L24" s="76">
        <f t="shared" si="25"/>
        <v>0.16299553761465571</v>
      </c>
      <c r="M24" s="76">
        <f t="shared" ref="M24:N24" si="26">IFERROR(M19/M$9,"")</f>
        <v>0.15990062463064553</v>
      </c>
      <c r="N24" s="76">
        <f t="shared" si="26"/>
        <v>0.14463432200615467</v>
      </c>
      <c r="O24" s="76">
        <f t="shared" ref="O24:P24" si="27">IFERROR(O19/O$9,"")</f>
        <v>0.1502560345031474</v>
      </c>
      <c r="P24" s="76">
        <f t="shared" si="27"/>
        <v>0.1586886258164337</v>
      </c>
      <c r="Q24" s="63"/>
      <c r="R24" s="76">
        <f t="shared" ref="R24:Y24" si="28">IFERROR(R19/R$9,"")</f>
        <v>0.16064017000795114</v>
      </c>
      <c r="S24" s="76">
        <f t="shared" si="28"/>
        <v>0.17327169066080902</v>
      </c>
      <c r="T24" s="76">
        <f t="shared" si="28"/>
        <v>0.16708846341054334</v>
      </c>
      <c r="U24" s="76">
        <f t="shared" si="28"/>
        <v>0.1578043060164967</v>
      </c>
      <c r="V24" s="76">
        <f t="shared" si="28"/>
        <v>0.13383129784518083</v>
      </c>
      <c r="W24" s="76">
        <f t="shared" si="28"/>
        <v>0.13879078726505897</v>
      </c>
      <c r="X24" s="76">
        <f t="shared" si="28"/>
        <v>0.15273736752839376</v>
      </c>
      <c r="Y24" s="76">
        <f t="shared" si="28"/>
        <v>0.15633510815019033</v>
      </c>
      <c r="Z24" s="76">
        <f t="shared" ref="Z24:AA24" si="29">IFERROR(Z19/Z$9,"")</f>
        <v>0.15990062463064553</v>
      </c>
      <c r="AA24" s="76">
        <f t="shared" si="29"/>
        <v>0.15111816629669567</v>
      </c>
      <c r="AB24" s="76">
        <f t="shared" ref="AB24:AC24" si="30">IFERROR(AB19/AB$9,"")</f>
        <v>0.15081683340001473</v>
      </c>
      <c r="AC24" s="76">
        <f t="shared" si="30"/>
        <v>0.15317086721017714</v>
      </c>
    </row>
    <row r="26" spans="3:29" x14ac:dyDescent="0.3">
      <c r="E26" s="80"/>
      <c r="F26" s="80"/>
      <c r="G26" s="80"/>
      <c r="H26" s="80"/>
      <c r="I26" s="80"/>
      <c r="J26" s="80"/>
      <c r="K26" s="80"/>
      <c r="L26" s="80"/>
    </row>
    <row r="27" spans="3:29" x14ac:dyDescent="0.3">
      <c r="E27" s="28"/>
      <c r="F27" s="28"/>
      <c r="G27" s="28"/>
      <c r="H27" s="28"/>
      <c r="I27" s="28"/>
      <c r="J27" s="28"/>
      <c r="K27" s="28"/>
      <c r="L27" s="28"/>
    </row>
  </sheetData>
  <mergeCells count="2">
    <mergeCell ref="E2:P2"/>
    <mergeCell ref="R2:AC2"/>
  </mergeCells>
  <hyperlinks>
    <hyperlink ref="P1" location="Indice!A1" display="Voltar" xr:uid="{FE1D6CAE-0D64-4E81-8A61-2F27017B3A02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S6:Y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Indice</vt:lpstr>
      <vt:lpstr>Balanço</vt:lpstr>
      <vt:lpstr>DRE</vt:lpstr>
      <vt:lpstr>Fluxo de Caixa</vt:lpstr>
      <vt:lpstr>Endividamento</vt:lpstr>
      <vt:lpstr>Indicadores Operacionais</vt:lpstr>
      <vt:lpstr>Canais de venda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Lawant</dc:creator>
  <cp:lastModifiedBy>Fabiana Lawant</cp:lastModifiedBy>
  <dcterms:created xsi:type="dcterms:W3CDTF">2020-03-13T20:47:10Z</dcterms:created>
  <dcterms:modified xsi:type="dcterms:W3CDTF">2022-04-01T17:36:49Z</dcterms:modified>
</cp:coreProperties>
</file>